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ares/Desktop/TCD 5-23/"/>
    </mc:Choice>
  </mc:AlternateContent>
  <xr:revisionPtr revIDLastSave="0" documentId="13_ncr:1_{05853C0D-D187-7746-BC4A-9DEF4B04C5E5}" xr6:coauthVersionLast="46" xr6:coauthVersionMax="46" xr10:uidLastSave="{00000000-0000-0000-0000-000000000000}"/>
  <bookViews>
    <workbookView xWindow="540" yWindow="500" windowWidth="28800" windowHeight="15660" xr2:uid="{F5F7702C-D477-DB43-9FB1-72983934D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4" i="1" l="1"/>
  <c r="C173" i="1"/>
  <c r="C172" i="1"/>
  <c r="C171" i="1"/>
  <c r="C170" i="1"/>
  <c r="C77" i="1"/>
  <c r="C33" i="1"/>
  <c r="C37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D43" i="1"/>
  <c r="D42" i="1"/>
  <c r="D41" i="1"/>
  <c r="D36" i="1"/>
  <c r="D32" i="1"/>
  <c r="F30" i="1"/>
  <c r="F29" i="1"/>
  <c r="F28" i="1"/>
  <c r="F27" i="1"/>
  <c r="F26" i="1"/>
  <c r="F24" i="1"/>
  <c r="F23" i="1"/>
  <c r="F22" i="1"/>
  <c r="F21" i="1"/>
  <c r="F18" i="1"/>
  <c r="F17" i="1"/>
  <c r="F15" i="1"/>
  <c r="F14" i="1"/>
  <c r="F13" i="1"/>
  <c r="F12" i="1"/>
  <c r="F11" i="1"/>
  <c r="F10" i="1"/>
  <c r="F9" i="1"/>
  <c r="F8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31" i="1"/>
  <c r="E25" i="1"/>
  <c r="E20" i="1"/>
  <c r="D77" i="1"/>
  <c r="F69" i="1"/>
  <c r="F68" i="1"/>
  <c r="F67" i="1"/>
  <c r="F66" i="1"/>
  <c r="F65" i="1"/>
  <c r="F63" i="1"/>
  <c r="F62" i="1"/>
  <c r="F61" i="1"/>
  <c r="F60" i="1"/>
  <c r="F57" i="1"/>
  <c r="F56" i="1"/>
  <c r="F54" i="1"/>
  <c r="F53" i="1"/>
  <c r="F52" i="1"/>
  <c r="F50" i="1"/>
  <c r="F49" i="1"/>
  <c r="F48" i="1"/>
  <c r="F47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F43" i="1"/>
  <c r="F42" i="1"/>
  <c r="F41" i="1"/>
  <c r="J30" i="1"/>
  <c r="J29" i="1"/>
  <c r="J28" i="1"/>
  <c r="J27" i="1"/>
  <c r="J26" i="1"/>
  <c r="J24" i="1"/>
  <c r="J23" i="1"/>
  <c r="J22" i="1"/>
  <c r="J21" i="1"/>
  <c r="J18" i="1"/>
  <c r="J17" i="1"/>
  <c r="J15" i="1"/>
  <c r="J14" i="1"/>
  <c r="J13" i="1"/>
  <c r="J11" i="1"/>
  <c r="J10" i="1"/>
  <c r="J9" i="1"/>
  <c r="J8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36" i="1"/>
  <c r="H32" i="1"/>
  <c r="G33" i="1"/>
  <c r="G37" i="1" s="1"/>
  <c r="I25" i="1"/>
  <c r="I20" i="1"/>
  <c r="F20" i="1" s="1"/>
  <c r="I19" i="1"/>
  <c r="J19" i="1" s="1"/>
  <c r="I16" i="1"/>
  <c r="F16" i="1" s="1"/>
  <c r="I7" i="1"/>
  <c r="J7" i="1" s="1"/>
  <c r="G31" i="1"/>
  <c r="C148" i="1"/>
  <c r="K138" i="1"/>
  <c r="J138" i="1"/>
  <c r="I138" i="1"/>
  <c r="H138" i="1"/>
  <c r="E77" i="1"/>
  <c r="H69" i="1"/>
  <c r="H67" i="1"/>
  <c r="H62" i="1"/>
  <c r="H61" i="1"/>
  <c r="H60" i="1"/>
  <c r="H54" i="1"/>
  <c r="H52" i="1"/>
  <c r="H49" i="1"/>
  <c r="H48" i="1"/>
  <c r="H47" i="1"/>
  <c r="H46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L36" i="1"/>
  <c r="L32" i="1"/>
  <c r="K33" i="1"/>
  <c r="K34" i="1" s="1"/>
  <c r="K31" i="1"/>
  <c r="M25" i="1"/>
  <c r="N30" i="1"/>
  <c r="N28" i="1"/>
  <c r="N23" i="1"/>
  <c r="N22" i="1"/>
  <c r="N21" i="1"/>
  <c r="N15" i="1"/>
  <c r="N13" i="1"/>
  <c r="N10" i="1"/>
  <c r="N9" i="1"/>
  <c r="N8" i="1"/>
  <c r="N7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H41" i="1"/>
  <c r="H42" i="1"/>
  <c r="H43" i="1"/>
  <c r="M20" i="1"/>
  <c r="M16" i="1"/>
  <c r="M12" i="1"/>
  <c r="N12" i="1" s="1"/>
  <c r="F77" i="1"/>
  <c r="J69" i="1"/>
  <c r="J67" i="1"/>
  <c r="J62" i="1"/>
  <c r="J61" i="1"/>
  <c r="J60" i="1"/>
  <c r="J54" i="1"/>
  <c r="J49" i="1"/>
  <c r="J48" i="1"/>
  <c r="J47" i="1"/>
  <c r="J46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J43" i="1"/>
  <c r="J42" i="1"/>
  <c r="J41" i="1"/>
  <c r="R30" i="1"/>
  <c r="R28" i="1"/>
  <c r="R23" i="1"/>
  <c r="R22" i="1"/>
  <c r="R21" i="1"/>
  <c r="R15" i="1"/>
  <c r="R10" i="1"/>
  <c r="R9" i="1"/>
  <c r="R8" i="1"/>
  <c r="R7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36" i="1"/>
  <c r="P32" i="1"/>
  <c r="O33" i="1"/>
  <c r="O34" i="1" s="1"/>
  <c r="Q29" i="1"/>
  <c r="H68" i="1" s="1"/>
  <c r="Q27" i="1"/>
  <c r="R27" i="1" s="1"/>
  <c r="Q26" i="1"/>
  <c r="J65" i="1" s="1"/>
  <c r="Q24" i="1"/>
  <c r="J63" i="1" s="1"/>
  <c r="Q19" i="1"/>
  <c r="H58" i="1" s="1"/>
  <c r="Q18" i="1"/>
  <c r="J57" i="1" s="1"/>
  <c r="Q17" i="1"/>
  <c r="J56" i="1" s="1"/>
  <c r="Q14" i="1"/>
  <c r="J53" i="1" s="1"/>
  <c r="Q11" i="1"/>
  <c r="H50" i="1" s="1"/>
  <c r="O31" i="1"/>
  <c r="Q25" i="1"/>
  <c r="Q20" i="1"/>
  <c r="Q16" i="1"/>
  <c r="B167" i="1"/>
  <c r="G77" i="1"/>
  <c r="L69" i="1"/>
  <c r="L67" i="1"/>
  <c r="L66" i="1"/>
  <c r="L65" i="1"/>
  <c r="L63" i="1"/>
  <c r="L62" i="1"/>
  <c r="L61" i="1"/>
  <c r="L60" i="1"/>
  <c r="L57" i="1"/>
  <c r="L56" i="1"/>
  <c r="L54" i="1"/>
  <c r="L53" i="1"/>
  <c r="L49" i="1"/>
  <c r="L48" i="1"/>
  <c r="L47" i="1"/>
  <c r="L46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L43" i="1"/>
  <c r="L42" i="1"/>
  <c r="L41" i="1"/>
  <c r="T36" i="1"/>
  <c r="T32" i="1"/>
  <c r="S33" i="1"/>
  <c r="S34" i="1" s="1"/>
  <c r="V30" i="1"/>
  <c r="V28" i="1"/>
  <c r="V27" i="1"/>
  <c r="V26" i="1"/>
  <c r="V24" i="1"/>
  <c r="V23" i="1"/>
  <c r="V22" i="1"/>
  <c r="V21" i="1"/>
  <c r="V18" i="1"/>
  <c r="V17" i="1"/>
  <c r="V15" i="1"/>
  <c r="V14" i="1"/>
  <c r="V10" i="1"/>
  <c r="V9" i="1"/>
  <c r="V8" i="1"/>
  <c r="V7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U29" i="1"/>
  <c r="V29" i="1" s="1"/>
  <c r="U25" i="1"/>
  <c r="V25" i="1" s="1"/>
  <c r="U20" i="1"/>
  <c r="U19" i="1"/>
  <c r="V19" i="1" s="1"/>
  <c r="U16" i="1"/>
  <c r="U13" i="1"/>
  <c r="V13" i="1" s="1"/>
  <c r="U12" i="1"/>
  <c r="V12" i="1" s="1"/>
  <c r="U11" i="1"/>
  <c r="V11" i="1" s="1"/>
  <c r="S31" i="1"/>
  <c r="D70" i="1" l="1"/>
  <c r="C70" i="1"/>
  <c r="C34" i="1"/>
  <c r="E31" i="1"/>
  <c r="F25" i="1"/>
  <c r="D31" i="1"/>
  <c r="D33" i="1"/>
  <c r="F7" i="1"/>
  <c r="F19" i="1"/>
  <c r="I31" i="1"/>
  <c r="K37" i="1"/>
  <c r="H31" i="1"/>
  <c r="F59" i="1"/>
  <c r="J16" i="1"/>
  <c r="F64" i="1"/>
  <c r="J20" i="1"/>
  <c r="H33" i="1"/>
  <c r="J12" i="1"/>
  <c r="F58" i="1"/>
  <c r="M31" i="1"/>
  <c r="G34" i="1"/>
  <c r="H34" i="1" s="1"/>
  <c r="J25" i="1"/>
  <c r="F46" i="1"/>
  <c r="E70" i="1"/>
  <c r="F51" i="1"/>
  <c r="F55" i="1"/>
  <c r="L33" i="1"/>
  <c r="N16" i="1"/>
  <c r="L34" i="1"/>
  <c r="G70" i="1"/>
  <c r="N20" i="1"/>
  <c r="H64" i="1"/>
  <c r="N17" i="1"/>
  <c r="N25" i="1"/>
  <c r="N29" i="1"/>
  <c r="H51" i="1"/>
  <c r="H55" i="1"/>
  <c r="H59" i="1"/>
  <c r="H63" i="1"/>
  <c r="N14" i="1"/>
  <c r="N18" i="1"/>
  <c r="N26" i="1"/>
  <c r="H56" i="1"/>
  <c r="N11" i="1"/>
  <c r="N19" i="1"/>
  <c r="N27" i="1"/>
  <c r="H53" i="1"/>
  <c r="H57" i="1"/>
  <c r="H65" i="1"/>
  <c r="N24" i="1"/>
  <c r="L31" i="1"/>
  <c r="H66" i="1"/>
  <c r="O37" i="1"/>
  <c r="K70" i="1"/>
  <c r="I70" i="1"/>
  <c r="P31" i="1"/>
  <c r="J55" i="1"/>
  <c r="R11" i="1"/>
  <c r="R19" i="1"/>
  <c r="J68" i="1"/>
  <c r="J59" i="1"/>
  <c r="P34" i="1"/>
  <c r="J64" i="1"/>
  <c r="P33" i="1"/>
  <c r="R12" i="1"/>
  <c r="R16" i="1"/>
  <c r="R20" i="1"/>
  <c r="R24" i="1"/>
  <c r="J50" i="1"/>
  <c r="J58" i="1"/>
  <c r="J66" i="1"/>
  <c r="Q31" i="1"/>
  <c r="N31" i="1" s="1"/>
  <c r="R13" i="1"/>
  <c r="R17" i="1"/>
  <c r="R25" i="1"/>
  <c r="R29" i="1"/>
  <c r="J51" i="1"/>
  <c r="R14" i="1"/>
  <c r="R18" i="1"/>
  <c r="R26" i="1"/>
  <c r="J52" i="1"/>
  <c r="L51" i="1"/>
  <c r="L52" i="1"/>
  <c r="L64" i="1"/>
  <c r="L68" i="1"/>
  <c r="L50" i="1"/>
  <c r="L58" i="1"/>
  <c r="S37" i="1"/>
  <c r="U31" i="1"/>
  <c r="O138" i="1"/>
  <c r="N138" i="1"/>
  <c r="M138" i="1"/>
  <c r="L138" i="1"/>
  <c r="G138" i="1"/>
  <c r="F138" i="1"/>
  <c r="E138" i="1"/>
  <c r="D138" i="1"/>
  <c r="C138" i="1"/>
  <c r="H77" i="1"/>
  <c r="N69" i="1"/>
  <c r="N68" i="1"/>
  <c r="N67" i="1"/>
  <c r="N66" i="1"/>
  <c r="N65" i="1"/>
  <c r="N64" i="1"/>
  <c r="N63" i="1"/>
  <c r="N62" i="1"/>
  <c r="N61" i="1"/>
  <c r="N60" i="1"/>
  <c r="N58" i="1"/>
  <c r="N57" i="1"/>
  <c r="N56" i="1"/>
  <c r="N54" i="1"/>
  <c r="N53" i="1"/>
  <c r="N52" i="1"/>
  <c r="N51" i="1"/>
  <c r="N50" i="1"/>
  <c r="N49" i="1"/>
  <c r="N48" i="1"/>
  <c r="N47" i="1"/>
  <c r="N46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N43" i="1"/>
  <c r="N42" i="1"/>
  <c r="N41" i="1"/>
  <c r="X36" i="1"/>
  <c r="X32" i="1"/>
  <c r="W33" i="1"/>
  <c r="W37" i="1" s="1"/>
  <c r="Z30" i="1"/>
  <c r="Z29" i="1"/>
  <c r="Z28" i="1"/>
  <c r="Z27" i="1"/>
  <c r="Z26" i="1"/>
  <c r="Z25" i="1"/>
  <c r="Z24" i="1"/>
  <c r="Z23" i="1"/>
  <c r="Z22" i="1"/>
  <c r="Z21" i="1"/>
  <c r="Z19" i="1"/>
  <c r="Z18" i="1"/>
  <c r="Z17" i="1"/>
  <c r="Z15" i="1"/>
  <c r="Z14" i="1"/>
  <c r="Z13" i="1"/>
  <c r="Z12" i="1"/>
  <c r="Z11" i="1"/>
  <c r="Z10" i="1"/>
  <c r="Z9" i="1"/>
  <c r="Z8" i="1"/>
  <c r="Z7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Y20" i="1"/>
  <c r="V20" i="1" s="1"/>
  <c r="Y16" i="1"/>
  <c r="V16" i="1" s="1"/>
  <c r="W31" i="1"/>
  <c r="I77" i="1"/>
  <c r="P69" i="1"/>
  <c r="P68" i="1"/>
  <c r="P67" i="1"/>
  <c r="P66" i="1"/>
  <c r="P65" i="1"/>
  <c r="P64" i="1"/>
  <c r="P63" i="1"/>
  <c r="P62" i="1"/>
  <c r="P61" i="1"/>
  <c r="P60" i="1"/>
  <c r="P57" i="1"/>
  <c r="P56" i="1"/>
  <c r="P54" i="1"/>
  <c r="P53" i="1"/>
  <c r="P52" i="1"/>
  <c r="P51" i="1"/>
  <c r="P50" i="1"/>
  <c r="P49" i="1"/>
  <c r="P48" i="1"/>
  <c r="P47" i="1"/>
  <c r="P46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P43" i="1"/>
  <c r="P42" i="1"/>
  <c r="P41" i="1"/>
  <c r="AB36" i="1"/>
  <c r="AB32" i="1"/>
  <c r="AA33" i="1"/>
  <c r="AA34" i="1" s="1"/>
  <c r="AD30" i="1"/>
  <c r="AD29" i="1"/>
  <c r="AD28" i="1"/>
  <c r="AD27" i="1"/>
  <c r="AD26" i="1"/>
  <c r="AD25" i="1"/>
  <c r="AD24" i="1"/>
  <c r="AD23" i="1"/>
  <c r="AD22" i="1"/>
  <c r="AD21" i="1"/>
  <c r="AD18" i="1"/>
  <c r="AD17" i="1"/>
  <c r="AD15" i="1"/>
  <c r="AD14" i="1"/>
  <c r="AD13" i="1"/>
  <c r="AD12" i="1"/>
  <c r="AD11" i="1"/>
  <c r="AD10" i="1"/>
  <c r="AD9" i="1"/>
  <c r="AD8" i="1"/>
  <c r="AD7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16" i="1"/>
  <c r="AC31" i="1" s="1"/>
  <c r="AA31" i="1"/>
  <c r="J77" i="1"/>
  <c r="R69" i="1"/>
  <c r="R68" i="1"/>
  <c r="R67" i="1"/>
  <c r="R63" i="1"/>
  <c r="R62" i="1"/>
  <c r="R61" i="1"/>
  <c r="R60" i="1"/>
  <c r="R57" i="1"/>
  <c r="R56" i="1"/>
  <c r="R54" i="1"/>
  <c r="R53" i="1"/>
  <c r="R52" i="1"/>
  <c r="R51" i="1"/>
  <c r="R50" i="1"/>
  <c r="R49" i="1"/>
  <c r="R48" i="1"/>
  <c r="R47" i="1"/>
  <c r="R46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R43" i="1"/>
  <c r="R42" i="1"/>
  <c r="R41" i="1"/>
  <c r="AF36" i="1"/>
  <c r="AF32" i="1"/>
  <c r="AE33" i="1"/>
  <c r="AE37" i="1" s="1"/>
  <c r="AH30" i="1"/>
  <c r="AH29" i="1"/>
  <c r="AH28" i="1"/>
  <c r="AH24" i="1"/>
  <c r="AH23" i="1"/>
  <c r="AH22" i="1"/>
  <c r="AH21" i="1"/>
  <c r="AH18" i="1"/>
  <c r="AH17" i="1"/>
  <c r="AH15" i="1"/>
  <c r="AH14" i="1"/>
  <c r="AH13" i="1"/>
  <c r="AH12" i="1"/>
  <c r="AH11" i="1"/>
  <c r="AH10" i="1"/>
  <c r="AH9" i="1"/>
  <c r="AH8" i="1"/>
  <c r="AH7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G20" i="1"/>
  <c r="P59" i="1" s="1"/>
  <c r="AG19" i="1"/>
  <c r="AH19" i="1" s="1"/>
  <c r="AG16" i="1"/>
  <c r="AE31" i="1"/>
  <c r="T43" i="1"/>
  <c r="T42" i="1"/>
  <c r="T41" i="1"/>
  <c r="K77" i="1"/>
  <c r="T69" i="1"/>
  <c r="T68" i="1"/>
  <c r="T67" i="1"/>
  <c r="T63" i="1"/>
  <c r="T62" i="1"/>
  <c r="T61" i="1"/>
  <c r="T60" i="1"/>
  <c r="T58" i="1"/>
  <c r="T57" i="1"/>
  <c r="T56" i="1"/>
  <c r="T54" i="1"/>
  <c r="T53" i="1"/>
  <c r="T52" i="1"/>
  <c r="T51" i="1"/>
  <c r="T50" i="1"/>
  <c r="T49" i="1"/>
  <c r="T48" i="1"/>
  <c r="T47" i="1"/>
  <c r="T46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AJ36" i="1"/>
  <c r="AJ32" i="1"/>
  <c r="AI33" i="1"/>
  <c r="AI34" i="1" s="1"/>
  <c r="AL30" i="1"/>
  <c r="AL29" i="1"/>
  <c r="AL28" i="1"/>
  <c r="AL24" i="1"/>
  <c r="AL23" i="1"/>
  <c r="AL22" i="1"/>
  <c r="AL21" i="1"/>
  <c r="AL19" i="1"/>
  <c r="AL18" i="1"/>
  <c r="AL17" i="1"/>
  <c r="AL15" i="1"/>
  <c r="AL14" i="1"/>
  <c r="AL13" i="1"/>
  <c r="AL12" i="1"/>
  <c r="AL11" i="1"/>
  <c r="AL10" i="1"/>
  <c r="AL9" i="1"/>
  <c r="AL8" i="1"/>
  <c r="AL7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K27" i="1"/>
  <c r="AL27" i="1" s="1"/>
  <c r="AK26" i="1"/>
  <c r="T65" i="1" s="1"/>
  <c r="AK25" i="1"/>
  <c r="AL25" i="1" s="1"/>
  <c r="AK20" i="1"/>
  <c r="AK16" i="1"/>
  <c r="AI31" i="1"/>
  <c r="AN36" i="1"/>
  <c r="AN32" i="1"/>
  <c r="V43" i="1"/>
  <c r="V42" i="1"/>
  <c r="V41" i="1"/>
  <c r="L77" i="1"/>
  <c r="V69" i="1"/>
  <c r="V68" i="1"/>
  <c r="V67" i="1"/>
  <c r="V66" i="1"/>
  <c r="V65" i="1"/>
  <c r="V64" i="1"/>
  <c r="V63" i="1"/>
  <c r="V62" i="1"/>
  <c r="V61" i="1"/>
  <c r="V60" i="1"/>
  <c r="V58" i="1"/>
  <c r="V57" i="1"/>
  <c r="V56" i="1"/>
  <c r="V54" i="1"/>
  <c r="V53" i="1"/>
  <c r="V52" i="1"/>
  <c r="V51" i="1"/>
  <c r="V50" i="1"/>
  <c r="V49" i="1"/>
  <c r="V48" i="1"/>
  <c r="V47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V46" i="1"/>
  <c r="U46" i="1"/>
  <c r="AM33" i="1"/>
  <c r="AM37" i="1" s="1"/>
  <c r="AP30" i="1"/>
  <c r="AP29" i="1"/>
  <c r="AP28" i="1"/>
  <c r="AP27" i="1"/>
  <c r="AP26" i="1"/>
  <c r="AP25" i="1"/>
  <c r="AP24" i="1"/>
  <c r="AP23" i="1"/>
  <c r="AP22" i="1"/>
  <c r="AP21" i="1"/>
  <c r="AP19" i="1"/>
  <c r="AP18" i="1"/>
  <c r="AP17" i="1"/>
  <c r="AP15" i="1"/>
  <c r="AP14" i="1"/>
  <c r="AP13" i="1"/>
  <c r="AP12" i="1"/>
  <c r="AP11" i="1"/>
  <c r="AP10" i="1"/>
  <c r="AP9" i="1"/>
  <c r="AP8" i="1"/>
  <c r="AP7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O20" i="1"/>
  <c r="AP20" i="1" s="1"/>
  <c r="AO16" i="1"/>
  <c r="AM31" i="1"/>
  <c r="M77" i="1"/>
  <c r="Y61" i="1"/>
  <c r="X69" i="1"/>
  <c r="X68" i="1"/>
  <c r="X67" i="1"/>
  <c r="X66" i="1"/>
  <c r="X65" i="1"/>
  <c r="X63" i="1"/>
  <c r="X62" i="1"/>
  <c r="X61" i="1"/>
  <c r="X60" i="1"/>
  <c r="X58" i="1"/>
  <c r="X57" i="1"/>
  <c r="X56" i="1"/>
  <c r="X54" i="1"/>
  <c r="X53" i="1"/>
  <c r="X52" i="1"/>
  <c r="X51" i="1"/>
  <c r="X50" i="1"/>
  <c r="X49" i="1"/>
  <c r="X48" i="1"/>
  <c r="X47" i="1"/>
  <c r="X46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X43" i="1"/>
  <c r="X42" i="1"/>
  <c r="X41" i="1"/>
  <c r="AR36" i="1"/>
  <c r="AR32" i="1"/>
  <c r="AQ33" i="1"/>
  <c r="AQ34" i="1" s="1"/>
  <c r="AT30" i="1"/>
  <c r="AT29" i="1"/>
  <c r="AT28" i="1"/>
  <c r="AT27" i="1"/>
  <c r="AT26" i="1"/>
  <c r="AT24" i="1"/>
  <c r="AT23" i="1"/>
  <c r="AT22" i="1"/>
  <c r="AT21" i="1"/>
  <c r="AT19" i="1"/>
  <c r="AT18" i="1"/>
  <c r="AT17" i="1"/>
  <c r="AT15" i="1"/>
  <c r="AT14" i="1"/>
  <c r="AT13" i="1"/>
  <c r="AT12" i="1"/>
  <c r="AT11" i="1"/>
  <c r="AT10" i="1"/>
  <c r="AT9" i="1"/>
  <c r="AT8" i="1"/>
  <c r="AT7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S16" i="1"/>
  <c r="AS31" i="1" s="1"/>
  <c r="AQ31" i="1"/>
  <c r="Z43" i="1"/>
  <c r="Z42" i="1"/>
  <c r="Z41" i="1"/>
  <c r="AB43" i="1"/>
  <c r="AB42" i="1"/>
  <c r="AB41" i="1"/>
  <c r="N77" i="1"/>
  <c r="Z69" i="1"/>
  <c r="Z67" i="1"/>
  <c r="Z63" i="1"/>
  <c r="Z62" i="1"/>
  <c r="Z61" i="1"/>
  <c r="Z60" i="1"/>
  <c r="Z57" i="1"/>
  <c r="Z56" i="1"/>
  <c r="Z54" i="1"/>
  <c r="Z53" i="1"/>
  <c r="Z52" i="1"/>
  <c r="Z51" i="1"/>
  <c r="Z50" i="1"/>
  <c r="Z49" i="1"/>
  <c r="Z48" i="1"/>
  <c r="Z47" i="1"/>
  <c r="Z46" i="1"/>
  <c r="Y69" i="1"/>
  <c r="Y68" i="1"/>
  <c r="Y67" i="1"/>
  <c r="Y66" i="1"/>
  <c r="Y65" i="1"/>
  <c r="Y64" i="1"/>
  <c r="Y63" i="1"/>
  <c r="Y62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AV36" i="1"/>
  <c r="AV32" i="1"/>
  <c r="AU33" i="1"/>
  <c r="AU37" i="1" s="1"/>
  <c r="AX30" i="1"/>
  <c r="AX28" i="1"/>
  <c r="AX24" i="1"/>
  <c r="AX23" i="1"/>
  <c r="AX22" i="1"/>
  <c r="AX21" i="1"/>
  <c r="AX18" i="1"/>
  <c r="AX17" i="1"/>
  <c r="AX15" i="1"/>
  <c r="AX14" i="1"/>
  <c r="AX13" i="1"/>
  <c r="AX12" i="1"/>
  <c r="AX11" i="1"/>
  <c r="AX10" i="1"/>
  <c r="AX9" i="1"/>
  <c r="AX8" i="1"/>
  <c r="AX7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W25" i="1"/>
  <c r="X64" i="1" s="1"/>
  <c r="AW20" i="1"/>
  <c r="X59" i="1" s="1"/>
  <c r="AW16" i="1"/>
  <c r="AU31" i="1"/>
  <c r="AY31" i="1"/>
  <c r="AY33" i="1"/>
  <c r="AY34" i="1" s="1"/>
  <c r="O77" i="1"/>
  <c r="AB56" i="1"/>
  <c r="AB69" i="1"/>
  <c r="AB67" i="1"/>
  <c r="AB63" i="1"/>
  <c r="AB62" i="1"/>
  <c r="AB61" i="1"/>
  <c r="AB60" i="1"/>
  <c r="AB57" i="1"/>
  <c r="AB54" i="1"/>
  <c r="AB53" i="1"/>
  <c r="AB52" i="1"/>
  <c r="AB51" i="1"/>
  <c r="AB50" i="1"/>
  <c r="AB49" i="1"/>
  <c r="AB48" i="1"/>
  <c r="AB47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B46" i="1"/>
  <c r="AA46" i="1"/>
  <c r="F31" i="1" l="1"/>
  <c r="D34" i="1"/>
  <c r="J31" i="1"/>
  <c r="F70" i="1"/>
  <c r="H70" i="1"/>
  <c r="J70" i="1"/>
  <c r="R31" i="1"/>
  <c r="L55" i="1"/>
  <c r="T31" i="1"/>
  <c r="L59" i="1"/>
  <c r="T33" i="1"/>
  <c r="Z20" i="1"/>
  <c r="N59" i="1"/>
  <c r="N55" i="1"/>
  <c r="M70" i="1"/>
  <c r="Y31" i="1"/>
  <c r="Z31" i="1" s="1"/>
  <c r="X31" i="1"/>
  <c r="X33" i="1"/>
  <c r="W34" i="1"/>
  <c r="Z16" i="1"/>
  <c r="AB31" i="1"/>
  <c r="AA37" i="1"/>
  <c r="O70" i="1"/>
  <c r="AD19" i="1"/>
  <c r="P58" i="1"/>
  <c r="AD16" i="1"/>
  <c r="AD20" i="1"/>
  <c r="AB33" i="1"/>
  <c r="P55" i="1"/>
  <c r="R59" i="1"/>
  <c r="R58" i="1"/>
  <c r="R66" i="1"/>
  <c r="R55" i="1"/>
  <c r="Q70" i="1"/>
  <c r="R64" i="1"/>
  <c r="R65" i="1"/>
  <c r="AH20" i="1"/>
  <c r="AH16" i="1"/>
  <c r="AF31" i="1"/>
  <c r="AG31" i="1"/>
  <c r="AD31" i="1" s="1"/>
  <c r="AH25" i="1"/>
  <c r="AF33" i="1"/>
  <c r="AH26" i="1"/>
  <c r="AE34" i="1"/>
  <c r="AF34" i="1" s="1"/>
  <c r="AH27" i="1"/>
  <c r="T59" i="1"/>
  <c r="AJ31" i="1"/>
  <c r="T55" i="1"/>
  <c r="AL26" i="1"/>
  <c r="S70" i="1"/>
  <c r="AK31" i="1"/>
  <c r="T64" i="1"/>
  <c r="AL16" i="1"/>
  <c r="AI37" i="1"/>
  <c r="T66" i="1"/>
  <c r="AJ33" i="1"/>
  <c r="AL20" i="1"/>
  <c r="AN31" i="1"/>
  <c r="V55" i="1"/>
  <c r="AN33" i="1"/>
  <c r="V59" i="1"/>
  <c r="AM34" i="1"/>
  <c r="AN34" i="1" s="1"/>
  <c r="U70" i="1"/>
  <c r="AP16" i="1"/>
  <c r="AO31" i="1"/>
  <c r="AP31" i="1" s="1"/>
  <c r="AW31" i="1"/>
  <c r="AT31" i="1" s="1"/>
  <c r="Y70" i="1"/>
  <c r="W70" i="1"/>
  <c r="AR31" i="1"/>
  <c r="AQ37" i="1"/>
  <c r="AT16" i="1"/>
  <c r="AT20" i="1"/>
  <c r="AR33" i="1"/>
  <c r="X55" i="1"/>
  <c r="X70" i="1" s="1"/>
  <c r="AT25" i="1"/>
  <c r="AV31" i="1"/>
  <c r="AU34" i="1"/>
  <c r="AV34" i="1" s="1"/>
  <c r="AV33" i="1"/>
  <c r="AY37" i="1"/>
  <c r="AA70" i="1"/>
  <c r="AZ36" i="1"/>
  <c r="AZ32" i="1"/>
  <c r="BD36" i="1"/>
  <c r="BD32" i="1"/>
  <c r="BB30" i="1"/>
  <c r="BB28" i="1"/>
  <c r="BB24" i="1"/>
  <c r="BB23" i="1"/>
  <c r="BB22" i="1"/>
  <c r="BB21" i="1"/>
  <c r="BB18" i="1"/>
  <c r="BB17" i="1"/>
  <c r="BB15" i="1"/>
  <c r="BB14" i="1"/>
  <c r="BB13" i="1"/>
  <c r="BB12" i="1"/>
  <c r="BB11" i="1"/>
  <c r="BB10" i="1"/>
  <c r="BB9" i="1"/>
  <c r="BB8" i="1"/>
  <c r="BB7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BA29" i="1"/>
  <c r="BA27" i="1"/>
  <c r="BA26" i="1"/>
  <c r="BA25" i="1"/>
  <c r="AX25" i="1" s="1"/>
  <c r="BA20" i="1"/>
  <c r="Z59" i="1" s="1"/>
  <c r="BA19" i="1"/>
  <c r="BA16" i="1"/>
  <c r="AX16" i="1" s="1"/>
  <c r="BC33" i="1"/>
  <c r="BC34" i="1" s="1"/>
  <c r="BC31" i="1"/>
  <c r="L70" i="1" l="1"/>
  <c r="V31" i="1"/>
  <c r="X34" i="1"/>
  <c r="T34" i="1"/>
  <c r="N70" i="1"/>
  <c r="P70" i="1"/>
  <c r="I78" i="1" s="1"/>
  <c r="AB34" i="1"/>
  <c r="R70" i="1"/>
  <c r="J78" i="1" s="1"/>
  <c r="AH31" i="1"/>
  <c r="T70" i="1"/>
  <c r="K78" i="1" s="1"/>
  <c r="AL31" i="1"/>
  <c r="AJ34" i="1"/>
  <c r="V70" i="1"/>
  <c r="AR34" i="1"/>
  <c r="AX20" i="1"/>
  <c r="Z64" i="1"/>
  <c r="Z55" i="1"/>
  <c r="Z65" i="1"/>
  <c r="AX26" i="1"/>
  <c r="AX19" i="1"/>
  <c r="Z58" i="1"/>
  <c r="Z68" i="1"/>
  <c r="AX29" i="1"/>
  <c r="AX27" i="1"/>
  <c r="Z66" i="1"/>
  <c r="AZ31" i="1"/>
  <c r="BB19" i="1"/>
  <c r="AB58" i="1"/>
  <c r="BB27" i="1"/>
  <c r="AB66" i="1"/>
  <c r="AZ34" i="1"/>
  <c r="BB29" i="1"/>
  <c r="AB68" i="1"/>
  <c r="BA31" i="1"/>
  <c r="AX31" i="1" s="1"/>
  <c r="AZ33" i="1"/>
  <c r="BC37" i="1"/>
  <c r="P77" i="1"/>
  <c r="AD69" i="1"/>
  <c r="AD68" i="1"/>
  <c r="AD67" i="1"/>
  <c r="AD63" i="1"/>
  <c r="AD62" i="1"/>
  <c r="AD61" i="1"/>
  <c r="AD60" i="1"/>
  <c r="AD57" i="1"/>
  <c r="AD56" i="1"/>
  <c r="AD54" i="1"/>
  <c r="AD53" i="1"/>
  <c r="AD52" i="1"/>
  <c r="AD51" i="1"/>
  <c r="AD50" i="1"/>
  <c r="AD49" i="1"/>
  <c r="AD48" i="1"/>
  <c r="AD47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D46" i="1"/>
  <c r="AC46" i="1"/>
  <c r="AD43" i="1"/>
  <c r="AD42" i="1"/>
  <c r="AD41" i="1"/>
  <c r="BF30" i="1"/>
  <c r="BF29" i="1"/>
  <c r="BF28" i="1"/>
  <c r="BF24" i="1"/>
  <c r="BF23" i="1"/>
  <c r="BF22" i="1"/>
  <c r="BF21" i="1"/>
  <c r="BF18" i="1"/>
  <c r="BF17" i="1"/>
  <c r="BF15" i="1"/>
  <c r="BF14" i="1"/>
  <c r="BF13" i="1"/>
  <c r="BF12" i="1"/>
  <c r="BF11" i="1"/>
  <c r="BF10" i="1"/>
  <c r="BF9" i="1"/>
  <c r="BF8" i="1"/>
  <c r="BF7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E26" i="1"/>
  <c r="BB26" i="1" s="1"/>
  <c r="BE25" i="1"/>
  <c r="AD64" i="1" s="1"/>
  <c r="BE20" i="1"/>
  <c r="BB20" i="1" s="1"/>
  <c r="BE16" i="1"/>
  <c r="BB16" i="1" s="1"/>
  <c r="Z70" i="1" l="1"/>
  <c r="AB55" i="1"/>
  <c r="AB64" i="1"/>
  <c r="AB65" i="1"/>
  <c r="AB59" i="1"/>
  <c r="BB25" i="1"/>
  <c r="AC70" i="1"/>
  <c r="BF25" i="1"/>
  <c r="BE31" i="1"/>
  <c r="BB31" i="1" s="1"/>
  <c r="AB70" i="1" l="1"/>
  <c r="Q77" i="1"/>
  <c r="AF69" i="1"/>
  <c r="AF63" i="1"/>
  <c r="AF62" i="1"/>
  <c r="AF61" i="1"/>
  <c r="AF60" i="1"/>
  <c r="AF54" i="1"/>
  <c r="AF50" i="1"/>
  <c r="AF49" i="1"/>
  <c r="AF48" i="1"/>
  <c r="AF47" i="1"/>
  <c r="AF46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BH36" i="1"/>
  <c r="BH32" i="1"/>
  <c r="BG33" i="1"/>
  <c r="BD33" i="1" s="1"/>
  <c r="BJ30" i="1"/>
  <c r="BJ24" i="1"/>
  <c r="BJ23" i="1"/>
  <c r="BJ22" i="1"/>
  <c r="BJ21" i="1"/>
  <c r="BJ15" i="1"/>
  <c r="BJ11" i="1"/>
  <c r="BJ10" i="1"/>
  <c r="BJ9" i="1"/>
  <c r="BJ8" i="1"/>
  <c r="BJ7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G31" i="1"/>
  <c r="BI27" i="1"/>
  <c r="BI26" i="1"/>
  <c r="BI20" i="1"/>
  <c r="BI19" i="1"/>
  <c r="BI16" i="1"/>
  <c r="AF43" i="1"/>
  <c r="AF42" i="1"/>
  <c r="AF41" i="1"/>
  <c r="BF20" i="1" l="1"/>
  <c r="AD59" i="1"/>
  <c r="AD65" i="1"/>
  <c r="BF26" i="1"/>
  <c r="BF16" i="1"/>
  <c r="AD55" i="1"/>
  <c r="BF27" i="1"/>
  <c r="AD66" i="1"/>
  <c r="BF19" i="1"/>
  <c r="AD58" i="1"/>
  <c r="BH31" i="1"/>
  <c r="BD31" i="1"/>
  <c r="BG37" i="1"/>
  <c r="AE70" i="1"/>
  <c r="BG34" i="1"/>
  <c r="BD34" i="1" s="1"/>
  <c r="BI31" i="1"/>
  <c r="BF31" i="1" s="1"/>
  <c r="AD70" i="1" l="1"/>
  <c r="BL36" i="1"/>
  <c r="BL32" i="1"/>
  <c r="AH43" i="1"/>
  <c r="AH42" i="1"/>
  <c r="BN30" i="1"/>
  <c r="BN24" i="1"/>
  <c r="BN23" i="1"/>
  <c r="BN22" i="1"/>
  <c r="BN21" i="1"/>
  <c r="BN15" i="1"/>
  <c r="BN11" i="1"/>
  <c r="BN10" i="1"/>
  <c r="BN9" i="1"/>
  <c r="BN8" i="1"/>
  <c r="BN7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R77" i="1"/>
  <c r="AH69" i="1"/>
  <c r="AH63" i="1"/>
  <c r="AH62" i="1"/>
  <c r="AH61" i="1"/>
  <c r="AH60" i="1"/>
  <c r="AH54" i="1"/>
  <c r="AH50" i="1"/>
  <c r="AH49" i="1"/>
  <c r="AH48" i="1"/>
  <c r="AH47" i="1"/>
  <c r="AH46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BK33" i="1"/>
  <c r="BM29" i="1"/>
  <c r="BM28" i="1"/>
  <c r="BM27" i="1"/>
  <c r="BM26" i="1"/>
  <c r="BM25" i="1"/>
  <c r="BM20" i="1"/>
  <c r="BM19" i="1"/>
  <c r="BM18" i="1"/>
  <c r="BM17" i="1"/>
  <c r="BM16" i="1"/>
  <c r="BM14" i="1"/>
  <c r="BM13" i="1"/>
  <c r="BM12" i="1"/>
  <c r="AF64" i="1" l="1"/>
  <c r="BJ25" i="1"/>
  <c r="BN14" i="1"/>
  <c r="AF53" i="1"/>
  <c r="BJ14" i="1"/>
  <c r="AH58" i="1"/>
  <c r="AF58" i="1"/>
  <c r="BJ19" i="1"/>
  <c r="BJ27" i="1"/>
  <c r="AF66" i="1"/>
  <c r="BN17" i="1"/>
  <c r="AF56" i="1"/>
  <c r="BJ17" i="1"/>
  <c r="BJ16" i="1"/>
  <c r="AF55" i="1"/>
  <c r="AF59" i="1"/>
  <c r="BJ20" i="1"/>
  <c r="AH67" i="1"/>
  <c r="AF67" i="1"/>
  <c r="BJ28" i="1"/>
  <c r="AH51" i="1"/>
  <c r="AF51" i="1"/>
  <c r="BJ12" i="1"/>
  <c r="BJ29" i="1"/>
  <c r="AF68" i="1"/>
  <c r="BN13" i="1"/>
  <c r="BJ13" i="1"/>
  <c r="AF52" i="1"/>
  <c r="BN18" i="1"/>
  <c r="BJ18" i="1"/>
  <c r="AF57" i="1"/>
  <c r="AF65" i="1"/>
  <c r="BJ26" i="1"/>
  <c r="BK34" i="1"/>
  <c r="BH34" i="1" s="1"/>
  <c r="BH33" i="1"/>
  <c r="BN19" i="1"/>
  <c r="BN28" i="1"/>
  <c r="AH53" i="1"/>
  <c r="AG70" i="1"/>
  <c r="AH57" i="1"/>
  <c r="BK37" i="1"/>
  <c r="AH52" i="1"/>
  <c r="AH56" i="1"/>
  <c r="BM31" i="1"/>
  <c r="BJ31" i="1" s="1"/>
  <c r="BN12" i="1"/>
  <c r="AF70" i="1" l="1"/>
  <c r="AJ41" i="1"/>
  <c r="AJ43" i="1"/>
  <c r="AJ42" i="1"/>
  <c r="S77" i="1" l="1"/>
  <c r="AJ69" i="1"/>
  <c r="AJ67" i="1"/>
  <c r="AJ63" i="1"/>
  <c r="AJ62" i="1"/>
  <c r="AJ61" i="1"/>
  <c r="AJ60" i="1"/>
  <c r="AJ57" i="1"/>
  <c r="AJ56" i="1"/>
  <c r="AJ54" i="1"/>
  <c r="AJ49" i="1"/>
  <c r="AJ48" i="1"/>
  <c r="AJ47" i="1"/>
  <c r="AJ46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BP36" i="1"/>
  <c r="BP32" i="1"/>
  <c r="BO33" i="1"/>
  <c r="BR30" i="1"/>
  <c r="BR28" i="1"/>
  <c r="BR24" i="1"/>
  <c r="BR23" i="1"/>
  <c r="BR22" i="1"/>
  <c r="BR21" i="1"/>
  <c r="BR18" i="1"/>
  <c r="BR17" i="1"/>
  <c r="BR15" i="1"/>
  <c r="BR10" i="1"/>
  <c r="BR9" i="1"/>
  <c r="BR8" i="1"/>
  <c r="BR7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Q29" i="1"/>
  <c r="BQ27" i="1"/>
  <c r="BQ26" i="1"/>
  <c r="BQ25" i="1"/>
  <c r="BQ20" i="1"/>
  <c r="BQ16" i="1"/>
  <c r="BO31" i="1"/>
  <c r="BL31" i="1" s="1"/>
  <c r="BN29" i="1" l="1"/>
  <c r="AH68" i="1"/>
  <c r="BN16" i="1"/>
  <c r="AH55" i="1"/>
  <c r="BN27" i="1"/>
  <c r="AH66" i="1"/>
  <c r="BN20" i="1"/>
  <c r="AH59" i="1"/>
  <c r="BN25" i="1"/>
  <c r="AH64" i="1"/>
  <c r="AH65" i="1"/>
  <c r="BN26" i="1"/>
  <c r="BO34" i="1"/>
  <c r="BL34" i="1" s="1"/>
  <c r="BL33" i="1"/>
  <c r="AI70" i="1"/>
  <c r="BQ31" i="1"/>
  <c r="BN31" i="1" s="1"/>
  <c r="BO37" i="1"/>
  <c r="AH70" i="1" l="1"/>
  <c r="T77" i="1"/>
  <c r="AL69" i="1"/>
  <c r="AL67" i="1"/>
  <c r="AL63" i="1"/>
  <c r="AL62" i="1"/>
  <c r="AL61" i="1"/>
  <c r="AL60" i="1"/>
  <c r="AL57" i="1"/>
  <c r="AL54" i="1"/>
  <c r="AL49" i="1"/>
  <c r="AL48" i="1"/>
  <c r="AL47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BT36" i="1"/>
  <c r="BT32" i="1"/>
  <c r="BS33" i="1"/>
  <c r="BV30" i="1"/>
  <c r="BV28" i="1"/>
  <c r="BV24" i="1"/>
  <c r="BV23" i="1"/>
  <c r="BV22" i="1"/>
  <c r="BV21" i="1"/>
  <c r="BV18" i="1"/>
  <c r="BV15" i="1"/>
  <c r="BV10" i="1"/>
  <c r="BV9" i="1"/>
  <c r="BV8" i="1"/>
  <c r="BU29" i="1"/>
  <c r="BU27" i="1"/>
  <c r="BU26" i="1"/>
  <c r="BU25" i="1"/>
  <c r="BU20" i="1"/>
  <c r="BU19" i="1"/>
  <c r="BU16" i="1"/>
  <c r="BU14" i="1"/>
  <c r="BU13" i="1"/>
  <c r="BU12" i="1"/>
  <c r="BU1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31" i="1"/>
  <c r="BP31" i="1" s="1"/>
  <c r="AL43" i="1"/>
  <c r="AL41" i="1"/>
  <c r="AL42" i="1"/>
  <c r="AK70" i="1" l="1"/>
  <c r="AJ52" i="1"/>
  <c r="BR13" i="1"/>
  <c r="AJ59" i="1"/>
  <c r="BR20" i="1"/>
  <c r="AJ68" i="1"/>
  <c r="BR29" i="1"/>
  <c r="BS37" i="1"/>
  <c r="BP33" i="1"/>
  <c r="AJ53" i="1"/>
  <c r="BR14" i="1"/>
  <c r="AJ64" i="1"/>
  <c r="BR25" i="1"/>
  <c r="BV11" i="1"/>
  <c r="BR11" i="1"/>
  <c r="AJ50" i="1"/>
  <c r="BR16" i="1"/>
  <c r="AJ55" i="1"/>
  <c r="AJ65" i="1"/>
  <c r="BR26" i="1"/>
  <c r="AJ51" i="1"/>
  <c r="BR12" i="1"/>
  <c r="BR19" i="1"/>
  <c r="AJ58" i="1"/>
  <c r="AJ66" i="1"/>
  <c r="BR27" i="1"/>
  <c r="BS34" i="1"/>
  <c r="BP34" i="1" s="1"/>
  <c r="AL50" i="1"/>
  <c r="BU31" i="1"/>
  <c r="BR31" i="1" s="1"/>
  <c r="AJ70" i="1" l="1"/>
  <c r="S78" i="1" s="1"/>
  <c r="BX36" i="1"/>
  <c r="BX32" i="1"/>
  <c r="BW33" i="1"/>
  <c r="AN43" i="1"/>
  <c r="AN42" i="1"/>
  <c r="AN41" i="1"/>
  <c r="U77" i="1"/>
  <c r="AN69" i="1"/>
  <c r="AN67" i="1"/>
  <c r="AN63" i="1"/>
  <c r="AN62" i="1"/>
  <c r="AN61" i="1"/>
  <c r="AN60" i="1"/>
  <c r="AN57" i="1"/>
  <c r="AN54" i="1"/>
  <c r="AN49" i="1"/>
  <c r="AN48" i="1"/>
  <c r="AN47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BZ30" i="1"/>
  <c r="BZ28" i="1"/>
  <c r="BZ24" i="1"/>
  <c r="BZ23" i="1"/>
  <c r="BZ22" i="1"/>
  <c r="BZ21" i="1"/>
  <c r="BZ18" i="1"/>
  <c r="BZ15" i="1"/>
  <c r="BZ10" i="1"/>
  <c r="BZ9" i="1"/>
  <c r="BZ8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W31" i="1"/>
  <c r="BT31" i="1" s="1"/>
  <c r="BY29" i="1"/>
  <c r="BY27" i="1"/>
  <c r="BY26" i="1"/>
  <c r="BY25" i="1"/>
  <c r="BY20" i="1"/>
  <c r="BY19" i="1"/>
  <c r="BY17" i="1"/>
  <c r="BY16" i="1"/>
  <c r="BY14" i="1"/>
  <c r="BY13" i="1"/>
  <c r="BY12" i="1"/>
  <c r="BY7" i="1"/>
  <c r="AN53" i="1" l="1"/>
  <c r="AL53" i="1"/>
  <c r="BV14" i="1"/>
  <c r="BW37" i="1"/>
  <c r="BT33" i="1"/>
  <c r="AL66" i="1"/>
  <c r="BV27" i="1"/>
  <c r="BV20" i="1"/>
  <c r="AL59" i="1"/>
  <c r="AN46" i="1"/>
  <c r="BV7" i="1"/>
  <c r="AL46" i="1"/>
  <c r="AL64" i="1"/>
  <c r="BV25" i="1"/>
  <c r="AL58" i="1"/>
  <c r="BV19" i="1"/>
  <c r="BV29" i="1"/>
  <c r="AL68" i="1"/>
  <c r="BV16" i="1"/>
  <c r="AL55" i="1"/>
  <c r="BV12" i="1"/>
  <c r="AL51" i="1"/>
  <c r="BZ17" i="1"/>
  <c r="AL56" i="1"/>
  <c r="BV17" i="1"/>
  <c r="BV26" i="1"/>
  <c r="AL65" i="1"/>
  <c r="AL52" i="1"/>
  <c r="BV13" i="1"/>
  <c r="AM70" i="1"/>
  <c r="BW34" i="1"/>
  <c r="BT34" i="1" s="1"/>
  <c r="BZ14" i="1"/>
  <c r="AN56" i="1"/>
  <c r="BZ7" i="1"/>
  <c r="BY31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BV31" i="1" l="1"/>
  <c r="AL70" i="1"/>
  <c r="T78" i="1" s="1"/>
  <c r="AP69" i="1"/>
  <c r="AP67" i="1"/>
  <c r="AP63" i="1"/>
  <c r="AP62" i="1"/>
  <c r="AP61" i="1"/>
  <c r="AP60" i="1"/>
  <c r="AP57" i="1"/>
  <c r="AP56" i="1"/>
  <c r="AP54" i="1"/>
  <c r="AP49" i="1"/>
  <c r="AP48" i="1"/>
  <c r="AP47" i="1"/>
  <c r="AP46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P43" i="1"/>
  <c r="AP42" i="1"/>
  <c r="AP41" i="1"/>
  <c r="CB36" i="1"/>
  <c r="CB32" i="1"/>
  <c r="CA33" i="1"/>
  <c r="CD30" i="1"/>
  <c r="CD28" i="1"/>
  <c r="CD24" i="1"/>
  <c r="CD23" i="1"/>
  <c r="CD22" i="1"/>
  <c r="CD21" i="1"/>
  <c r="CD18" i="1"/>
  <c r="CD17" i="1"/>
  <c r="CD15" i="1"/>
  <c r="CD10" i="1"/>
  <c r="CD9" i="1"/>
  <c r="CD8" i="1"/>
  <c r="CD7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C12" i="1"/>
  <c r="CC11" i="1"/>
  <c r="CC29" i="1"/>
  <c r="CC27" i="1"/>
  <c r="CC26" i="1"/>
  <c r="CC25" i="1"/>
  <c r="CC20" i="1"/>
  <c r="CC19" i="1"/>
  <c r="CC16" i="1"/>
  <c r="CC13" i="1"/>
  <c r="CA31" i="1"/>
  <c r="BX31" i="1" s="1"/>
  <c r="CA34" i="1" l="1"/>
  <c r="BX34" i="1" s="1"/>
  <c r="BX33" i="1"/>
  <c r="AN58" i="1"/>
  <c r="BZ19" i="1"/>
  <c r="CD20" i="1"/>
  <c r="AN59" i="1"/>
  <c r="BZ20" i="1"/>
  <c r="BZ29" i="1"/>
  <c r="AN68" i="1"/>
  <c r="BZ13" i="1"/>
  <c r="AN52" i="1"/>
  <c r="BZ25" i="1"/>
  <c r="AN64" i="1"/>
  <c r="AN50" i="1"/>
  <c r="BZ11" i="1"/>
  <c r="AN55" i="1"/>
  <c r="BZ16" i="1"/>
  <c r="BZ26" i="1"/>
  <c r="AN65" i="1"/>
  <c r="AN51" i="1"/>
  <c r="BZ12" i="1"/>
  <c r="BZ27" i="1"/>
  <c r="AN66" i="1"/>
  <c r="CA37" i="1"/>
  <c r="CC31" i="1"/>
  <c r="BZ31" i="1" s="1"/>
  <c r="AO70" i="1"/>
  <c r="AP58" i="1"/>
  <c r="CD19" i="1"/>
  <c r="AP59" i="1"/>
  <c r="AR69" i="1"/>
  <c r="AR67" i="1"/>
  <c r="AR63" i="1"/>
  <c r="AR62" i="1"/>
  <c r="AR61" i="1"/>
  <c r="AR60" i="1"/>
  <c r="AR57" i="1"/>
  <c r="AR56" i="1"/>
  <c r="AR54" i="1"/>
  <c r="AR49" i="1"/>
  <c r="AR48" i="1"/>
  <c r="AR47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R46" i="1"/>
  <c r="AQ46" i="1"/>
  <c r="AR43" i="1"/>
  <c r="AR42" i="1"/>
  <c r="AR41" i="1"/>
  <c r="CF36" i="1"/>
  <c r="CF32" i="1"/>
  <c r="CE33" i="1"/>
  <c r="CE37" i="1" s="1"/>
  <c r="CH30" i="1"/>
  <c r="CH28" i="1"/>
  <c r="CH24" i="1"/>
  <c r="CH23" i="1"/>
  <c r="CH22" i="1"/>
  <c r="CH21" i="1"/>
  <c r="CH18" i="1"/>
  <c r="CH17" i="1"/>
  <c r="CH15" i="1"/>
  <c r="CH10" i="1"/>
  <c r="CH9" i="1"/>
  <c r="CH8" i="1"/>
  <c r="CH7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G29" i="1"/>
  <c r="CD29" i="1" s="1"/>
  <c r="CG27" i="1"/>
  <c r="AP66" i="1" s="1"/>
  <c r="CG26" i="1"/>
  <c r="CD26" i="1" s="1"/>
  <c r="CG25" i="1"/>
  <c r="CD25" i="1" s="1"/>
  <c r="CG16" i="1"/>
  <c r="CD16" i="1" s="1"/>
  <c r="CG14" i="1"/>
  <c r="CG13" i="1"/>
  <c r="CD13" i="1" s="1"/>
  <c r="CG12" i="1"/>
  <c r="CH12" i="1" s="1"/>
  <c r="CG11" i="1"/>
  <c r="CE31" i="1"/>
  <c r="CB31" i="1" s="1"/>
  <c r="AN70" i="1" l="1"/>
  <c r="U78" i="1" s="1"/>
  <c r="AP64" i="1"/>
  <c r="CD27" i="1"/>
  <c r="AP52" i="1"/>
  <c r="CB33" i="1"/>
  <c r="CD12" i="1"/>
  <c r="AP65" i="1"/>
  <c r="AR50" i="1"/>
  <c r="AP50" i="1"/>
  <c r="AP55" i="1"/>
  <c r="CH14" i="1"/>
  <c r="AP53" i="1"/>
  <c r="CD14" i="1"/>
  <c r="AP51" i="1"/>
  <c r="AP68" i="1"/>
  <c r="CD11" i="1"/>
  <c r="CE34" i="1"/>
  <c r="CB34" i="1" s="1"/>
  <c r="AQ70" i="1"/>
  <c r="CH11" i="1"/>
  <c r="AR51" i="1"/>
  <c r="CG31" i="1"/>
  <c r="CD31" i="1" s="1"/>
  <c r="AR53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B69" i="1"/>
  <c r="BB68" i="1"/>
  <c r="BB67" i="1"/>
  <c r="BB66" i="1"/>
  <c r="BB65" i="1"/>
  <c r="BB64" i="1"/>
  <c r="BB63" i="1"/>
  <c r="BB62" i="1"/>
  <c r="BB61" i="1"/>
  <c r="BB60" i="1"/>
  <c r="BB58" i="1"/>
  <c r="BB57" i="1"/>
  <c r="BB56" i="1"/>
  <c r="BB54" i="1"/>
  <c r="BB53" i="1"/>
  <c r="BB52" i="1"/>
  <c r="BB51" i="1"/>
  <c r="BB50" i="1"/>
  <c r="BB49" i="1"/>
  <c r="BB48" i="1"/>
  <c r="BB47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AZ69" i="1"/>
  <c r="AZ68" i="1"/>
  <c r="AZ67" i="1"/>
  <c r="AZ66" i="1"/>
  <c r="AZ63" i="1"/>
  <c r="AZ62" i="1"/>
  <c r="AZ61" i="1"/>
  <c r="AZ60" i="1"/>
  <c r="AZ57" i="1"/>
  <c r="AZ56" i="1"/>
  <c r="AZ54" i="1"/>
  <c r="AZ53" i="1"/>
  <c r="AZ52" i="1"/>
  <c r="AZ49" i="1"/>
  <c r="AZ48" i="1"/>
  <c r="AZ47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X69" i="1"/>
  <c r="AX49" i="1"/>
  <c r="AX48" i="1"/>
  <c r="AX47" i="1"/>
  <c r="AX46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BC46" i="1"/>
  <c r="BD46" i="1"/>
  <c r="BB46" i="1"/>
  <c r="BA46" i="1"/>
  <c r="AZ46" i="1"/>
  <c r="AY46" i="1"/>
  <c r="AW46" i="1"/>
  <c r="AV69" i="1"/>
  <c r="AV49" i="1"/>
  <c r="AV48" i="1"/>
  <c r="AV47" i="1"/>
  <c r="AV46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BC70" i="1" l="1"/>
  <c r="AP70" i="1"/>
  <c r="V78" i="1" s="1"/>
  <c r="AW70" i="1"/>
  <c r="AY70" i="1"/>
  <c r="BD70" i="1"/>
  <c r="AC78" i="1" s="1"/>
  <c r="AU70" i="1"/>
  <c r="BA70" i="1"/>
  <c r="AT69" i="1"/>
  <c r="AT67" i="1"/>
  <c r="AT63" i="1"/>
  <c r="AT62" i="1"/>
  <c r="AT61" i="1"/>
  <c r="AT60" i="1"/>
  <c r="AT57" i="1"/>
  <c r="AT56" i="1"/>
  <c r="AT54" i="1"/>
  <c r="AT53" i="1"/>
  <c r="AT51" i="1"/>
  <c r="AT50" i="1"/>
  <c r="AT49" i="1"/>
  <c r="AT48" i="1"/>
  <c r="AT47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T46" i="1"/>
  <c r="AS46" i="1"/>
  <c r="CJ36" i="1"/>
  <c r="CJ32" i="1"/>
  <c r="CI33" i="1"/>
  <c r="CF33" i="1" s="1"/>
  <c r="CL30" i="1"/>
  <c r="CL28" i="1"/>
  <c r="CL24" i="1"/>
  <c r="CL23" i="1"/>
  <c r="CL22" i="1"/>
  <c r="CL21" i="1"/>
  <c r="CL18" i="1"/>
  <c r="CL17" i="1"/>
  <c r="CL15" i="1"/>
  <c r="CL14" i="1"/>
  <c r="CL12" i="1"/>
  <c r="CL11" i="1"/>
  <c r="CL10" i="1"/>
  <c r="CL9" i="1"/>
  <c r="CL8" i="1"/>
  <c r="CL7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K29" i="1"/>
  <c r="CK27" i="1"/>
  <c r="CK26" i="1"/>
  <c r="CK25" i="1"/>
  <c r="CK20" i="1"/>
  <c r="CK19" i="1"/>
  <c r="CK16" i="1"/>
  <c r="CK13" i="1"/>
  <c r="CI31" i="1"/>
  <c r="CF31" i="1" s="1"/>
  <c r="AT43" i="1"/>
  <c r="AT42" i="1"/>
  <c r="AT41" i="1"/>
  <c r="AT59" i="1" l="1"/>
  <c r="AR59" i="1"/>
  <c r="CH20" i="1"/>
  <c r="CH13" i="1"/>
  <c r="AR52" i="1"/>
  <c r="CH26" i="1"/>
  <c r="AR65" i="1"/>
  <c r="CH29" i="1"/>
  <c r="AR68" i="1"/>
  <c r="AR64" i="1"/>
  <c r="CH25" i="1"/>
  <c r="AR55" i="1"/>
  <c r="CH16" i="1"/>
  <c r="CI37" i="1"/>
  <c r="AR58" i="1"/>
  <c r="CH19" i="1"/>
  <c r="AR66" i="1"/>
  <c r="CH27" i="1"/>
  <c r="CL20" i="1"/>
  <c r="CK31" i="1"/>
  <c r="CH31" i="1" s="1"/>
  <c r="AS70" i="1"/>
  <c r="AT52" i="1"/>
  <c r="CL13" i="1"/>
  <c r="CI34" i="1"/>
  <c r="CF34" i="1" s="1"/>
  <c r="CN36" i="1"/>
  <c r="CN32" i="1"/>
  <c r="AV43" i="1"/>
  <c r="AV42" i="1"/>
  <c r="AV41" i="1"/>
  <c r="CM33" i="1"/>
  <c r="CM37" i="1" s="1"/>
  <c r="CP30" i="1"/>
  <c r="CP10" i="1"/>
  <c r="CP9" i="1"/>
  <c r="CP8" i="1"/>
  <c r="CP7" i="1"/>
  <c r="CO19" i="1"/>
  <c r="CO29" i="1"/>
  <c r="CO27" i="1"/>
  <c r="AT66" i="1" s="1"/>
  <c r="CO26" i="1"/>
  <c r="CO25" i="1"/>
  <c r="CO16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M31" i="1"/>
  <c r="CJ31" i="1" s="1"/>
  <c r="CL27" i="1" l="1"/>
  <c r="CJ33" i="1"/>
  <c r="AR70" i="1"/>
  <c r="W78" i="1" s="1"/>
  <c r="CL16" i="1"/>
  <c r="AT55" i="1"/>
  <c r="AT68" i="1"/>
  <c r="CL19" i="1"/>
  <c r="CL29" i="1"/>
  <c r="AT58" i="1"/>
  <c r="AT64" i="1"/>
  <c r="CL25" i="1"/>
  <c r="CO31" i="1"/>
  <c r="CL31" i="1" s="1"/>
  <c r="AT65" i="1"/>
  <c r="CL26" i="1"/>
  <c r="CM34" i="1"/>
  <c r="CJ34" i="1" s="1"/>
  <c r="CS16" i="1"/>
  <c r="AT70" i="1" l="1"/>
  <c r="X78" i="1" s="1"/>
  <c r="CP16" i="1"/>
  <c r="AV55" i="1"/>
  <c r="AX43" i="1"/>
  <c r="AX42" i="1"/>
  <c r="AX41" i="1"/>
  <c r="CT30" i="1"/>
  <c r="CT10" i="1"/>
  <c r="CT9" i="1"/>
  <c r="CT8" i="1"/>
  <c r="CT7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36" i="1"/>
  <c r="CR32" i="1"/>
  <c r="CQ33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5" i="1"/>
  <c r="CS14" i="1"/>
  <c r="CS13" i="1"/>
  <c r="CS12" i="1"/>
  <c r="CS11" i="1"/>
  <c r="CQ31" i="1"/>
  <c r="CN31" i="1" s="1"/>
  <c r="CP11" i="1" l="1"/>
  <c r="AV50" i="1"/>
  <c r="AV54" i="1"/>
  <c r="AX54" i="1"/>
  <c r="CP20" i="1"/>
  <c r="AV59" i="1"/>
  <c r="AV63" i="1"/>
  <c r="AX63" i="1"/>
  <c r="AV67" i="1"/>
  <c r="AX67" i="1"/>
  <c r="CP12" i="1"/>
  <c r="AV51" i="1"/>
  <c r="AX56" i="1"/>
  <c r="AV56" i="1"/>
  <c r="AX60" i="1"/>
  <c r="AV60" i="1"/>
  <c r="CP25" i="1"/>
  <c r="AV64" i="1"/>
  <c r="AX68" i="1"/>
  <c r="AV68" i="1"/>
  <c r="AX52" i="1"/>
  <c r="AV52" i="1"/>
  <c r="AX57" i="1"/>
  <c r="AV57" i="1"/>
  <c r="AX61" i="1"/>
  <c r="AV61" i="1"/>
  <c r="CP26" i="1"/>
  <c r="AV65" i="1"/>
  <c r="AX53" i="1"/>
  <c r="AV53" i="1"/>
  <c r="CP19" i="1"/>
  <c r="AV58" i="1"/>
  <c r="AV62" i="1"/>
  <c r="AX62" i="1"/>
  <c r="AX66" i="1"/>
  <c r="AV66" i="1"/>
  <c r="CT18" i="1"/>
  <c r="CP18" i="1"/>
  <c r="CT17" i="1"/>
  <c r="CP17" i="1"/>
  <c r="CT21" i="1"/>
  <c r="CP21" i="1"/>
  <c r="CT29" i="1"/>
  <c r="CP29" i="1"/>
  <c r="CT14" i="1"/>
  <c r="CP14" i="1"/>
  <c r="CT23" i="1"/>
  <c r="CP23" i="1"/>
  <c r="CT27" i="1"/>
  <c r="CP27" i="1"/>
  <c r="CT13" i="1"/>
  <c r="CP13" i="1"/>
  <c r="CT22" i="1"/>
  <c r="CP22" i="1"/>
  <c r="CQ37" i="1"/>
  <c r="CN33" i="1"/>
  <c r="CT15" i="1"/>
  <c r="CP15" i="1"/>
  <c r="CT24" i="1"/>
  <c r="CP24" i="1"/>
  <c r="CT28" i="1"/>
  <c r="CP28" i="1"/>
  <c r="CQ34" i="1"/>
  <c r="CN34" i="1" s="1"/>
  <c r="CS31" i="1"/>
  <c r="CP31" i="1" s="1"/>
  <c r="CX30" i="1"/>
  <c r="CX29" i="1"/>
  <c r="CX28" i="1"/>
  <c r="CX27" i="1"/>
  <c r="CX24" i="1"/>
  <c r="CX23" i="1"/>
  <c r="CX22" i="1"/>
  <c r="CX21" i="1"/>
  <c r="CX18" i="1"/>
  <c r="CX17" i="1"/>
  <c r="CX15" i="1"/>
  <c r="CX14" i="1"/>
  <c r="CX13" i="1"/>
  <c r="CX10" i="1"/>
  <c r="CX9" i="1"/>
  <c r="CX8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X7" i="1"/>
  <c r="CV7" i="1"/>
  <c r="AZ41" i="1"/>
  <c r="AZ42" i="1"/>
  <c r="AZ43" i="1"/>
  <c r="CV32" i="1"/>
  <c r="CU33" i="1"/>
  <c r="CU37" i="1" s="1"/>
  <c r="CW12" i="1"/>
  <c r="AX51" i="1" s="1"/>
  <c r="CW11" i="1"/>
  <c r="CU31" i="1"/>
  <c r="CR31" i="1" s="1"/>
  <c r="CW26" i="1"/>
  <c r="CW25" i="1"/>
  <c r="CW20" i="1"/>
  <c r="AX59" i="1" s="1"/>
  <c r="CW19" i="1"/>
  <c r="CW16" i="1"/>
  <c r="CX11" i="1" l="1"/>
  <c r="AZ50" i="1"/>
  <c r="CT16" i="1"/>
  <c r="AX55" i="1"/>
  <c r="CX26" i="1"/>
  <c r="AZ65" i="1"/>
  <c r="AX65" i="1"/>
  <c r="AX50" i="1"/>
  <c r="CT20" i="1"/>
  <c r="AV70" i="1"/>
  <c r="Y78" i="1" s="1"/>
  <c r="CX19" i="1"/>
  <c r="AZ58" i="1"/>
  <c r="CX25" i="1"/>
  <c r="AZ64" i="1"/>
  <c r="CX12" i="1"/>
  <c r="AZ51" i="1"/>
  <c r="AX58" i="1"/>
  <c r="AX64" i="1"/>
  <c r="CT11" i="1"/>
  <c r="CT26" i="1"/>
  <c r="CR33" i="1"/>
  <c r="CT12" i="1"/>
  <c r="CT19" i="1"/>
  <c r="CT25" i="1"/>
  <c r="CW31" i="1"/>
  <c r="CT31" i="1" s="1"/>
  <c r="CU34" i="1"/>
  <c r="CR34" i="1" s="1"/>
  <c r="DB30" i="1"/>
  <c r="DB29" i="1"/>
  <c r="DB28" i="1"/>
  <c r="DB27" i="1"/>
  <c r="DB26" i="1"/>
  <c r="DB25" i="1"/>
  <c r="DB24" i="1"/>
  <c r="DB23" i="1"/>
  <c r="DB22" i="1"/>
  <c r="DB21" i="1"/>
  <c r="DB19" i="1"/>
  <c r="DB18" i="1"/>
  <c r="DB17" i="1"/>
  <c r="DB15" i="1"/>
  <c r="DB14" i="1"/>
  <c r="DB13" i="1"/>
  <c r="DB12" i="1"/>
  <c r="DB11" i="1"/>
  <c r="DB10" i="1"/>
  <c r="DB9" i="1"/>
  <c r="DB8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DB7" i="1"/>
  <c r="CZ7" i="1"/>
  <c r="CZ32" i="1"/>
  <c r="BB43" i="1"/>
  <c r="BB42" i="1"/>
  <c r="BB41" i="1"/>
  <c r="CY36" i="1"/>
  <c r="CY33" i="1"/>
  <c r="CY34" i="1" s="1"/>
  <c r="DA20" i="1"/>
  <c r="AZ59" i="1" s="1"/>
  <c r="DA16" i="1"/>
  <c r="AZ55" i="1" s="1"/>
  <c r="CY31" i="1"/>
  <c r="CV31" i="1" s="1"/>
  <c r="DB16" i="1" l="1"/>
  <c r="BB55" i="1"/>
  <c r="AZ70" i="1"/>
  <c r="AA78" i="1" s="1"/>
  <c r="DB20" i="1"/>
  <c r="BB59" i="1"/>
  <c r="AX70" i="1"/>
  <c r="Z78" i="1" s="1"/>
  <c r="CX20" i="1"/>
  <c r="CV33" i="1"/>
  <c r="CX16" i="1"/>
  <c r="CZ36" i="1"/>
  <c r="CV36" i="1"/>
  <c r="CV34" i="1"/>
  <c r="CY37" i="1"/>
  <c r="DA31" i="1"/>
  <c r="CX31" i="1" s="1"/>
  <c r="BD43" i="1"/>
  <c r="BD42" i="1"/>
  <c r="BF43" i="1"/>
  <c r="BF42" i="1"/>
  <c r="DD36" i="1"/>
  <c r="DD32" i="1"/>
  <c r="DC33" i="1"/>
  <c r="CZ33" i="1" s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DE31" i="1"/>
  <c r="DB31" i="1" s="1"/>
  <c r="DC31" i="1"/>
  <c r="CZ31" i="1" s="1"/>
  <c r="BB70" i="1" l="1"/>
  <c r="AB78" i="1" s="1"/>
  <c r="DC34" i="1"/>
  <c r="CZ34" i="1" s="1"/>
  <c r="DC37" i="1"/>
  <c r="DG33" i="1"/>
  <c r="DD33" i="1" s="1"/>
  <c r="DI31" i="1"/>
  <c r="DF31" i="1" s="1"/>
  <c r="BE41" i="1"/>
  <c r="DH36" i="1"/>
  <c r="DH32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DJ7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G31" i="1"/>
  <c r="DD31" i="1" s="1"/>
  <c r="DG34" i="1" l="1"/>
  <c r="DD34" i="1" s="1"/>
  <c r="BF41" i="1"/>
  <c r="BD41" i="1"/>
  <c r="DG37" i="1"/>
  <c r="CM43" i="1"/>
  <c r="CK43" i="1"/>
  <c r="CI43" i="1"/>
  <c r="CG43" i="1"/>
  <c r="CE43" i="1"/>
  <c r="CC43" i="1"/>
  <c r="CA43" i="1"/>
  <c r="BY43" i="1"/>
  <c r="BW43" i="1"/>
  <c r="BU43" i="1"/>
  <c r="BS43" i="1"/>
  <c r="BQ43" i="1"/>
  <c r="BO43" i="1"/>
  <c r="BM43" i="1"/>
  <c r="BK43" i="1"/>
  <c r="BI43" i="1"/>
  <c r="BI42" i="1"/>
  <c r="DM36" i="1"/>
  <c r="DM35" i="1"/>
  <c r="DM32" i="1"/>
  <c r="DL33" i="1"/>
  <c r="DL37" i="1" s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7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M7" i="1"/>
  <c r="BI41" i="1" s="1"/>
  <c r="DN31" i="1"/>
  <c r="DJ31" i="1" s="1"/>
  <c r="DL31" i="1"/>
  <c r="DH31" i="1" s="1"/>
  <c r="DH33" i="1" l="1"/>
  <c r="DL34" i="1"/>
  <c r="DH34" i="1" s="1"/>
  <c r="BK42" i="1"/>
  <c r="DQ36" i="1"/>
  <c r="DQ35" i="1"/>
  <c r="DP33" i="1"/>
  <c r="DP37" i="1" s="1"/>
  <c r="DQ32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BK41" i="1" s="1"/>
  <c r="DR31" i="1"/>
  <c r="DP31" i="1"/>
  <c r="DM31" i="1" s="1"/>
  <c r="DO31" i="1" l="1"/>
  <c r="DM33" i="1"/>
  <c r="DP34" i="1"/>
  <c r="DM34" i="1" s="1"/>
  <c r="DU36" i="1"/>
  <c r="DU35" i="1"/>
  <c r="DU32" i="1"/>
  <c r="DT33" i="1"/>
  <c r="DT37" i="1" s="1"/>
  <c r="BM42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BM41" i="1" s="1"/>
  <c r="DV31" i="1"/>
  <c r="DS31" i="1" s="1"/>
  <c r="DT31" i="1"/>
  <c r="DQ31" i="1" s="1"/>
  <c r="DX31" i="1"/>
  <c r="DQ33" i="1" l="1"/>
  <c r="DU31" i="1"/>
  <c r="DT34" i="1"/>
  <c r="DQ34" i="1" s="1"/>
  <c r="BO42" i="1"/>
  <c r="DY36" i="1"/>
  <c r="DY35" i="1"/>
  <c r="DY32" i="1"/>
  <c r="DX33" i="1"/>
  <c r="DX34" i="1" s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DY11" i="1"/>
  <c r="DY10" i="1"/>
  <c r="DY9" i="1"/>
  <c r="DY8" i="1"/>
  <c r="DY7" i="1"/>
  <c r="BO41" i="1" s="1"/>
  <c r="DZ31" i="1"/>
  <c r="DW31" i="1" s="1"/>
  <c r="DU34" i="1" l="1"/>
  <c r="DU33" i="1"/>
  <c r="DX37" i="1"/>
  <c r="BQ42" i="1"/>
  <c r="EC36" i="1"/>
  <c r="EC35" i="1"/>
  <c r="EC32" i="1"/>
  <c r="EB33" i="1"/>
  <c r="EB34" i="1" s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E7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EC7" i="1"/>
  <c r="BQ41" i="1" s="1"/>
  <c r="ED31" i="1"/>
  <c r="EA31" i="1" s="1"/>
  <c r="EB31" i="1"/>
  <c r="DY31" i="1" s="1"/>
  <c r="EF31" i="1"/>
  <c r="EF33" i="1"/>
  <c r="EF34" i="1" s="1"/>
  <c r="EG7" i="1"/>
  <c r="BS41" i="1" s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BS42" i="1"/>
  <c r="EG36" i="1"/>
  <c r="EG35" i="1"/>
  <c r="EJ33" i="1"/>
  <c r="EG33" i="1" s="1"/>
  <c r="EG32" i="1"/>
  <c r="EH31" i="1"/>
  <c r="EL31" i="1"/>
  <c r="EJ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I7" i="1"/>
  <c r="EK36" i="1"/>
  <c r="EK35" i="1"/>
  <c r="EN33" i="1"/>
  <c r="EN37" i="1" s="1"/>
  <c r="EK32" i="1"/>
  <c r="EK7" i="1"/>
  <c r="BU41" i="1" s="1"/>
  <c r="BU42" i="1"/>
  <c r="EP31" i="1"/>
  <c r="EM31" i="1" s="1"/>
  <c r="EN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8" i="1"/>
  <c r="EM7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BT41" i="1"/>
  <c r="EO36" i="1"/>
  <c r="ES36" i="1"/>
  <c r="EW36" i="1"/>
  <c r="FA36" i="1"/>
  <c r="FE36" i="1"/>
  <c r="FI36" i="1"/>
  <c r="FM36" i="1"/>
  <c r="FQ36" i="1"/>
  <c r="FU36" i="1"/>
  <c r="ER33" i="1"/>
  <c r="EV33" i="1"/>
  <c r="EO26" i="1"/>
  <c r="BW42" i="1"/>
  <c r="ES7" i="1"/>
  <c r="BY41" i="1" s="1"/>
  <c r="EO7" i="1"/>
  <c r="BW41" i="1" s="1"/>
  <c r="BV41" i="1"/>
  <c r="EO35" i="1"/>
  <c r="ER34" i="1"/>
  <c r="EO32" i="1"/>
  <c r="ET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4" i="1"/>
  <c r="EQ13" i="1"/>
  <c r="EQ12" i="1"/>
  <c r="EQ11" i="1"/>
  <c r="EQ10" i="1"/>
  <c r="EQ9" i="1"/>
  <c r="EQ8" i="1"/>
  <c r="EQ7" i="1"/>
  <c r="ER31" i="1"/>
  <c r="EO30" i="1"/>
  <c r="EO29" i="1"/>
  <c r="EO28" i="1"/>
  <c r="EO27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U26" i="1"/>
  <c r="BY42" i="1"/>
  <c r="EU7" i="1"/>
  <c r="BX41" i="1"/>
  <c r="ES35" i="1"/>
  <c r="ES32" i="1"/>
  <c r="ER37" i="1"/>
  <c r="EX31" i="1"/>
  <c r="EV31" i="1"/>
  <c r="EU30" i="1"/>
  <c r="EU29" i="1"/>
  <c r="EU28" i="1"/>
  <c r="EU27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3" i="1"/>
  <c r="ES12" i="1"/>
  <c r="ES11" i="1"/>
  <c r="ES10" i="1"/>
  <c r="ES9" i="1"/>
  <c r="ES8" i="1"/>
  <c r="EW7" i="1"/>
  <c r="CA41" i="1" s="1"/>
  <c r="EZ33" i="1"/>
  <c r="EZ37" i="1" s="1"/>
  <c r="CA42" i="1"/>
  <c r="EW35" i="1"/>
  <c r="EW32" i="1"/>
  <c r="FB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EZ31" i="1"/>
  <c r="EW31" i="1" s="1"/>
  <c r="EW30" i="1"/>
  <c r="EW29" i="1"/>
  <c r="EW28" i="1"/>
  <c r="EW27" i="1"/>
  <c r="EW26" i="1"/>
  <c r="EW25" i="1"/>
  <c r="EW24" i="1"/>
  <c r="EW23" i="1"/>
  <c r="EW22" i="1"/>
  <c r="EW21" i="1"/>
  <c r="EW20" i="1"/>
  <c r="EW19" i="1"/>
  <c r="EW18" i="1"/>
  <c r="EW17" i="1"/>
  <c r="EW16" i="1"/>
  <c r="EW15" i="1"/>
  <c r="EW14" i="1"/>
  <c r="EW13" i="1"/>
  <c r="EW12" i="1"/>
  <c r="EW11" i="1"/>
  <c r="EW10" i="1"/>
  <c r="EW9" i="1"/>
  <c r="EW8" i="1"/>
  <c r="CC42" i="1"/>
  <c r="CB41" i="1"/>
  <c r="FA35" i="1"/>
  <c r="FA32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8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C7" i="1"/>
  <c r="FA7" i="1"/>
  <c r="CC41" i="1" s="1"/>
  <c r="FD33" i="1"/>
  <c r="FD37" i="1" s="1"/>
  <c r="CD41" i="1"/>
  <c r="FF31" i="1"/>
  <c r="FD31" i="1"/>
  <c r="CE42" i="1"/>
  <c r="FE35" i="1"/>
  <c r="FE32" i="1"/>
  <c r="FE7" i="1"/>
  <c r="CE41" i="1" s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E18" i="1"/>
  <c r="FE17" i="1"/>
  <c r="FE16" i="1"/>
  <c r="FE15" i="1"/>
  <c r="FE14" i="1"/>
  <c r="FE13" i="1"/>
  <c r="FE12" i="1"/>
  <c r="FE11" i="1"/>
  <c r="FE10" i="1"/>
  <c r="FE9" i="1"/>
  <c r="FE8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H33" i="1"/>
  <c r="FH37" i="1" s="1"/>
  <c r="CG42" i="1"/>
  <c r="FI35" i="1"/>
  <c r="FI32" i="1"/>
  <c r="FJ31" i="1"/>
  <c r="FH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7" i="1"/>
  <c r="FI30" i="1"/>
  <c r="FI29" i="1"/>
  <c r="FI28" i="1"/>
  <c r="FI27" i="1"/>
  <c r="FI26" i="1"/>
  <c r="FI25" i="1"/>
  <c r="FI24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FI7" i="1"/>
  <c r="CG41" i="1" s="1"/>
  <c r="CM42" i="1"/>
  <c r="CK42" i="1"/>
  <c r="CI42" i="1"/>
  <c r="CN41" i="1"/>
  <c r="CL41" i="1"/>
  <c r="CJ41" i="1"/>
  <c r="CH41" i="1"/>
  <c r="FU35" i="1"/>
  <c r="FU32" i="1"/>
  <c r="FX33" i="1"/>
  <c r="FX34" i="1" s="1"/>
  <c r="FW30" i="1"/>
  <c r="FQ12" i="1"/>
  <c r="FQ18" i="1"/>
  <c r="FQ16" i="1"/>
  <c r="FQ15" i="1"/>
  <c r="FQ13" i="1"/>
  <c r="FQ9" i="1"/>
  <c r="FQ19" i="1"/>
  <c r="FQ26" i="1"/>
  <c r="FQ30" i="1"/>
  <c r="FQ29" i="1"/>
  <c r="FQ28" i="1"/>
  <c r="FQ27" i="1"/>
  <c r="FQ25" i="1"/>
  <c r="FQ24" i="1"/>
  <c r="FQ23" i="1"/>
  <c r="FQ22" i="1"/>
  <c r="FQ21" i="1"/>
  <c r="FQ20" i="1"/>
  <c r="FQ17" i="1"/>
  <c r="FQ14" i="1"/>
  <c r="FQ11" i="1"/>
  <c r="FQ10" i="1"/>
  <c r="FQ8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7" i="1"/>
  <c r="FU30" i="1"/>
  <c r="FU29" i="1"/>
  <c r="FU28" i="1"/>
  <c r="FU27" i="1"/>
  <c r="FU26" i="1"/>
  <c r="FU25" i="1"/>
  <c r="FU24" i="1"/>
  <c r="FU23" i="1"/>
  <c r="FU22" i="1"/>
  <c r="FU21" i="1"/>
  <c r="FU20" i="1"/>
  <c r="FU19" i="1"/>
  <c r="FU18" i="1"/>
  <c r="FU17" i="1"/>
  <c r="FU16" i="1"/>
  <c r="FU15" i="1"/>
  <c r="FU14" i="1"/>
  <c r="FU13" i="1"/>
  <c r="FU12" i="1"/>
  <c r="FU11" i="1"/>
  <c r="FU10" i="1"/>
  <c r="FU9" i="1"/>
  <c r="FU8" i="1"/>
  <c r="FU7" i="1"/>
  <c r="CM41" i="1" s="1"/>
  <c r="FY31" i="1"/>
  <c r="FX31" i="1"/>
  <c r="FS10" i="1"/>
  <c r="FQ35" i="1"/>
  <c r="FM35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7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CI41" i="1" s="1"/>
  <c r="FQ7" i="1"/>
  <c r="CK41" i="1" s="1"/>
  <c r="FS30" i="1"/>
  <c r="FS29" i="1"/>
  <c r="FS28" i="1"/>
  <c r="FS27" i="1"/>
  <c r="FS26" i="1"/>
  <c r="FS25" i="1"/>
  <c r="FS24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9" i="1"/>
  <c r="FS8" i="1"/>
  <c r="FS7" i="1"/>
  <c r="FT33" i="1"/>
  <c r="FT34" i="1" s="1"/>
  <c r="FV31" i="1"/>
  <c r="FT31" i="1"/>
  <c r="FP33" i="1"/>
  <c r="FP37" i="1" s="1"/>
  <c r="FL33" i="1"/>
  <c r="FL37" i="1" s="1"/>
  <c r="FL31" i="1"/>
  <c r="FN31" i="1"/>
  <c r="FP32" i="1"/>
  <c r="FM32" i="1" s="1"/>
  <c r="FP31" i="1"/>
  <c r="FR31" i="1"/>
  <c r="FS31" i="1" s="1"/>
  <c r="ES31" i="1" l="1"/>
  <c r="FE31" i="1"/>
  <c r="FG31" i="1"/>
  <c r="ES33" i="1"/>
  <c r="FX37" i="1"/>
  <c r="FD34" i="1"/>
  <c r="FA31" i="1"/>
  <c r="FQ31" i="1"/>
  <c r="EO33" i="1"/>
  <c r="FK31" i="1"/>
  <c r="FH34" i="1"/>
  <c r="FA33" i="1"/>
  <c r="EZ34" i="1"/>
  <c r="FW31" i="1"/>
  <c r="FE33" i="1"/>
  <c r="FI33" i="1"/>
  <c r="EY31" i="1"/>
  <c r="FU34" i="1"/>
  <c r="EJ37" i="1"/>
  <c r="EK33" i="1"/>
  <c r="EF37" i="1"/>
  <c r="EQ31" i="1"/>
  <c r="EK31" i="1"/>
  <c r="FU31" i="1"/>
  <c r="DY34" i="1"/>
  <c r="DY33" i="1"/>
  <c r="FL34" i="1"/>
  <c r="EG31" i="1"/>
  <c r="EC31" i="1"/>
  <c r="FQ33" i="1"/>
  <c r="FO31" i="1"/>
  <c r="FT37" i="1"/>
  <c r="FC31" i="1"/>
  <c r="EW33" i="1"/>
  <c r="EU31" i="1"/>
  <c r="EE31" i="1"/>
  <c r="FU33" i="1"/>
  <c r="FM31" i="1"/>
  <c r="EV37" i="1"/>
  <c r="EV34" i="1"/>
  <c r="EO31" i="1"/>
  <c r="EI31" i="1"/>
  <c r="EC34" i="1"/>
  <c r="FP34" i="1"/>
  <c r="FQ32" i="1"/>
  <c r="FI31" i="1"/>
  <c r="EN34" i="1"/>
  <c r="EO34" i="1" s="1"/>
  <c r="EJ34" i="1"/>
  <c r="EB37" i="1"/>
  <c r="FM33" i="1"/>
  <c r="EC33" i="1"/>
  <c r="FA34" i="1" l="1"/>
  <c r="FE34" i="1"/>
  <c r="FI34" i="1"/>
  <c r="EK34" i="1"/>
  <c r="EW34" i="1"/>
  <c r="ES34" i="1"/>
  <c r="FM34" i="1"/>
  <c r="FQ34" i="1"/>
  <c r="EG34" i="1"/>
  <c r="AH41" i="1"/>
</calcChain>
</file>

<file path=xl/sharedStrings.xml><?xml version="1.0" encoding="utf-8"?>
<sst xmlns="http://schemas.openxmlformats.org/spreadsheetml/2006/main" count="398" uniqueCount="79">
  <si>
    <t>COVID-19 TEST RESULTS IN ECUADOR</t>
  </si>
  <si>
    <t>Azuay</t>
  </si>
  <si>
    <t>Canar</t>
  </si>
  <si>
    <t>Carchi</t>
  </si>
  <si>
    <t>Chimborazo</t>
  </si>
  <si>
    <t>Cotopaxi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</si>
  <si>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</si>
  <si>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</si>
  <si>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</si>
  <si>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</si>
  <si>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</si>
  <si>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</si>
  <si>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</si>
  <si>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</si>
  <si>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</si>
  <si>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</si>
  <si>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</si>
  <si>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Elana</t>
  </si>
  <si>
    <t>Sto. Domingo Tsachilas</t>
  </si>
  <si>
    <t>Sucumbios</t>
  </si>
  <si>
    <t>Tungurahua</t>
  </si>
  <si>
    <t>Zamora Chinchipe</t>
  </si>
  <si>
    <t>Deaths</t>
  </si>
  <si>
    <t>% Increase</t>
  </si>
  <si>
    <t>TOTAL</t>
  </si>
  <si>
    <t>Bolivar</t>
  </si>
  <si>
    <t>SAMPLES</t>
  </si>
  <si>
    <t xml:space="preserve"> Pos. Cases</t>
  </si>
  <si>
    <t>BACKLOG TESTS</t>
  </si>
  <si>
    <t>TESTS</t>
  </si>
  <si>
    <t>PROVINCE</t>
  </si>
  <si>
    <t>Esmeraldas</t>
  </si>
  <si>
    <t>Cuenca</t>
  </si>
  <si>
    <t>POSITIVE TESTS</t>
  </si>
  <si>
    <t>POSITIVE TESTS AS % TOTAL TESTS</t>
  </si>
  <si>
    <t>El Oro</t>
  </si>
  <si>
    <t>Santa Isabel</t>
  </si>
  <si>
    <t>Sept. 6, 2020</t>
  </si>
  <si>
    <t>N/A</t>
  </si>
  <si>
    <t>Sept. 13, 2020</t>
  </si>
  <si>
    <t>Sept. 20, 2020</t>
  </si>
  <si>
    <t>Sept. 27, 2020</t>
  </si>
  <si>
    <t>New Cases</t>
  </si>
  <si>
    <t>New Deaths</t>
  </si>
  <si>
    <t>TOTALS</t>
  </si>
  <si>
    <t>REPRESENTS ZERO DEATHS</t>
  </si>
  <si>
    <t>HOSPITALIZATIONS</t>
  </si>
  <si>
    <t>Discharged</t>
  </si>
  <si>
    <t>Hospitalized: Stable</t>
  </si>
  <si>
    <t>Hospitalized: ICU</t>
  </si>
  <si>
    <t>Sept. 06, 2020</t>
  </si>
  <si>
    <t>Aug. 30, 2020</t>
  </si>
  <si>
    <t>Aug. 23, 2020</t>
  </si>
  <si>
    <t>Aug. 16, 2020</t>
  </si>
  <si>
    <t>Aug. 09, 2020</t>
  </si>
  <si>
    <t>Aug. 02, 2020</t>
  </si>
  <si>
    <t>Total Hospitalized</t>
  </si>
  <si>
    <t>Epidemiologic Week</t>
  </si>
  <si>
    <t>Population</t>
  </si>
  <si>
    <t>% of population tested</t>
  </si>
  <si>
    <t>Number of tests</t>
  </si>
  <si>
    <t>Tests per million people</t>
  </si>
  <si>
    <t>Ecuador</t>
  </si>
  <si>
    <t>Bolivia</t>
  </si>
  <si>
    <t>Chile</t>
  </si>
  <si>
    <t>Colombia</t>
  </si>
  <si>
    <t>Peru</t>
  </si>
  <si>
    <t>Argentina</t>
  </si>
  <si>
    <t>Venezuela</t>
  </si>
  <si>
    <t>Paraguay</t>
  </si>
  <si>
    <t>Uruguay</t>
  </si>
  <si>
    <t>Guyana</t>
  </si>
  <si>
    <t>Suriname</t>
  </si>
  <si>
    <t>French Guiana</t>
  </si>
  <si>
    <t>Rank of Tests/Million out of 215</t>
  </si>
  <si>
    <t>Brazil*</t>
  </si>
  <si>
    <t>* Brazil has not updated its test numbers since December.</t>
  </si>
  <si>
    <t>Country Nos. as of Mar. 7, 2021</t>
  </si>
  <si>
    <t>Number of Positive Cases Added or Subtracted Since March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</si>
</sst>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[$-409]mmmm\ d\,\ yyyy;@"/>
  </numFmts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5548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rgb="FF363945"/>
      <name val="Arial"/>
      <family val="2"/>
    </font>
    <font>
      <sz val="10"/>
      <color theme="0" tint="-0.3499862666707357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u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0"/>
      <color theme="9" tint="-0.249977111117893"/>
      <name val="Arial"/>
      <family val="2"/>
    </font>
    <font>
      <u/>
      <sz val="10"/>
      <color theme="9" tint="-0.249977111117893"/>
      <name val="Calibri"/>
      <family val="2"/>
      <scheme val="minor"/>
    </font>
    <font>
      <sz val="12"/>
      <color theme="0"/>
      <name val="Times New Roman"/>
      <family val="1"/>
    </font>
    <font>
      <sz val="12"/>
      <name val="Times New Roman"/>
      <family val="1"/>
    </font>
    <font>
      <i/>
      <sz val="12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sz val="10"/>
      <color rgb="FFC00000"/>
      <name val="Calibri"/>
      <family val="2"/>
      <scheme val="minor"/>
    </font>
    <font>
      <sz val="12"/>
      <color rgb="FF363945"/>
      <name val="Times New Roman"/>
      <family val="1"/>
    </font>
    <font>
      <sz val="12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rgb="FFFF0000"/>
        <bgColor theme="0" tint="-0.249977111117893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bgColor theme="0" tint="-0.3499862666707357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auto="1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auto="1"/>
      </bottom>
      <diagonal/>
    </border>
    <border>
      <left style="thin">
        <color rgb="FF92D050"/>
      </left>
      <right style="medium">
        <color auto="1"/>
      </right>
      <top style="thin">
        <color rgb="FF92D050"/>
      </top>
      <bottom style="medium">
        <color auto="1"/>
      </bottom>
      <diagonal/>
    </border>
    <border>
      <left style="medium">
        <color auto="1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auto="1"/>
      </left>
      <right style="thin">
        <color rgb="FF92D050"/>
      </right>
      <top style="thin">
        <color rgb="FF92D050"/>
      </top>
      <bottom style="medium">
        <color auto="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auto="1"/>
      </left>
      <right/>
      <top style="medium">
        <color auto="1"/>
      </top>
      <bottom style="thin">
        <color rgb="FF92D05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rgb="FF92D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7" xfId="0" applyFont="1" applyFill="1" applyBorder="1"/>
    <xf numFmtId="0" fontId="2" fillId="0" borderId="7" xfId="0" applyFont="1" applyBorder="1"/>
    <xf numFmtId="0" fontId="4" fillId="0" borderId="7" xfId="0" applyFont="1" applyBorder="1"/>
    <xf numFmtId="0" fontId="2" fillId="0" borderId="0" xfId="0" applyFont="1" applyFill="1"/>
    <xf numFmtId="10" fontId="2" fillId="0" borderId="0" xfId="0" applyNumberFormat="1" applyFont="1"/>
    <xf numFmtId="0" fontId="4" fillId="0" borderId="0" xfId="0" applyFont="1"/>
    <xf numFmtId="0" fontId="2" fillId="0" borderId="0" xfId="0" applyFont="1" applyFill="1" applyBorder="1"/>
    <xf numFmtId="0" fontId="2" fillId="0" borderId="0" xfId="0" applyFont="1" applyBorder="1"/>
    <xf numFmtId="10" fontId="2" fillId="0" borderId="0" xfId="0" applyNumberFormat="1" applyFont="1" applyBorder="1"/>
    <xf numFmtId="0" fontId="2" fillId="0" borderId="5" xfId="0" applyFont="1" applyBorder="1"/>
    <xf numFmtId="0" fontId="2" fillId="0" borderId="4" xfId="0" applyFont="1" applyBorder="1"/>
    <xf numFmtId="164" fontId="4" fillId="0" borderId="0" xfId="0" applyNumberFormat="1" applyFont="1" applyBorder="1"/>
    <xf numFmtId="16" fontId="2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0" fontId="3" fillId="2" borderId="4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0" fontId="3" fillId="7" borderId="11" xfId="0" applyFont="1" applyFill="1" applyBorder="1"/>
    <xf numFmtId="0" fontId="3" fillId="2" borderId="5" xfId="0" applyFont="1" applyFill="1" applyBorder="1"/>
    <xf numFmtId="0" fontId="3" fillId="0" borderId="0" xfId="0" applyFont="1" applyFill="1"/>
    <xf numFmtId="0" fontId="3" fillId="5" borderId="4" xfId="0" applyFont="1" applyFill="1" applyBorder="1"/>
    <xf numFmtId="0" fontId="4" fillId="0" borderId="0" xfId="0" applyFont="1" applyFill="1" applyBorder="1"/>
    <xf numFmtId="10" fontId="4" fillId="4" borderId="0" xfId="0" applyNumberFormat="1" applyFont="1" applyFill="1"/>
    <xf numFmtId="10" fontId="3" fillId="5" borderId="0" xfId="0" applyNumberFormat="1" applyFont="1" applyFill="1"/>
    <xf numFmtId="10" fontId="6" fillId="3" borderId="0" xfId="0" applyNumberFormat="1" applyFont="1" applyFill="1"/>
    <xf numFmtId="10" fontId="4" fillId="3" borderId="0" xfId="0" applyNumberFormat="1" applyFont="1" applyFill="1"/>
    <xf numFmtId="10" fontId="3" fillId="5" borderId="0" xfId="0" applyNumberFormat="1" applyFont="1" applyFill="1" applyBorder="1"/>
    <xf numFmtId="10" fontId="4" fillId="4" borderId="0" xfId="0" applyNumberFormat="1" applyFont="1" applyFill="1" applyBorder="1"/>
    <xf numFmtId="10" fontId="6" fillId="3" borderId="0" xfId="0" applyNumberFormat="1" applyFont="1" applyFill="1" applyBorder="1"/>
    <xf numFmtId="10" fontId="4" fillId="3" borderId="0" xfId="0" applyNumberFormat="1" applyFont="1" applyFill="1" applyBorder="1"/>
    <xf numFmtId="0" fontId="2" fillId="7" borderId="10" xfId="0" applyFont="1" applyFill="1" applyBorder="1"/>
    <xf numFmtId="10" fontId="2" fillId="4" borderId="0" xfId="0" applyNumberFormat="1" applyFont="1" applyFill="1" applyBorder="1"/>
    <xf numFmtId="10" fontId="2" fillId="3" borderId="0" xfId="0" applyNumberFormat="1" applyFont="1" applyFill="1" applyBorder="1"/>
    <xf numFmtId="1" fontId="2" fillId="0" borderId="0" xfId="0" applyNumberFormat="1" applyFont="1" applyFill="1" applyBorder="1"/>
    <xf numFmtId="10" fontId="2" fillId="4" borderId="0" xfId="0" applyNumberFormat="1" applyFont="1" applyFill="1"/>
    <xf numFmtId="0" fontId="2" fillId="0" borderId="5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10" fontId="7" fillId="3" borderId="0" xfId="0" applyNumberFormat="1" applyFont="1" applyFill="1" applyBorder="1"/>
    <xf numFmtId="0" fontId="4" fillId="0" borderId="0" xfId="0" applyFont="1" applyFill="1"/>
    <xf numFmtId="1" fontId="4" fillId="0" borderId="0" xfId="0" applyNumberFormat="1" applyFont="1" applyFill="1" applyBorder="1"/>
    <xf numFmtId="0" fontId="3" fillId="2" borderId="0" xfId="0" applyFont="1" applyFill="1"/>
    <xf numFmtId="0" fontId="3" fillId="7" borderId="10" xfId="0" applyFont="1" applyFill="1" applyBorder="1"/>
    <xf numFmtId="1" fontId="3" fillId="2" borderId="0" xfId="0" applyNumberFormat="1" applyFont="1" applyFill="1" applyBorder="1"/>
    <xf numFmtId="0" fontId="2" fillId="0" borderId="4" xfId="0" applyFont="1" applyFill="1" applyBorder="1"/>
    <xf numFmtId="10" fontId="6" fillId="0" borderId="0" xfId="0" applyNumberFormat="1" applyFont="1" applyFill="1" applyBorder="1"/>
    <xf numFmtId="10" fontId="8" fillId="0" borderId="0" xfId="0" applyNumberFormat="1" applyFont="1" applyFill="1" applyBorder="1"/>
    <xf numFmtId="10" fontId="2" fillId="0" borderId="0" xfId="0" applyNumberFormat="1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0" fontId="2" fillId="6" borderId="0" xfId="0" applyFont="1" applyFill="1"/>
    <xf numFmtId="10" fontId="6" fillId="6" borderId="0" xfId="0" applyNumberFormat="1" applyFont="1" applyFill="1" applyBorder="1"/>
    <xf numFmtId="10" fontId="8" fillId="6" borderId="0" xfId="0" applyNumberFormat="1" applyFont="1" applyFill="1" applyBorder="1"/>
    <xf numFmtId="10" fontId="2" fillId="6" borderId="0" xfId="0" applyNumberFormat="1" applyFont="1" applyFill="1" applyBorder="1"/>
    <xf numFmtId="1" fontId="2" fillId="6" borderId="0" xfId="0" applyNumberFormat="1" applyFont="1" applyFill="1" applyBorder="1"/>
    <xf numFmtId="1" fontId="4" fillId="6" borderId="0" xfId="0" applyNumberFormat="1" applyFont="1" applyFill="1" applyBorder="1"/>
    <xf numFmtId="0" fontId="2" fillId="6" borderId="5" xfId="0" applyFont="1" applyFill="1" applyBorder="1"/>
    <xf numFmtId="0" fontId="4" fillId="7" borderId="10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0" xfId="0" applyFont="1" applyFill="1" applyAlignment="1">
      <alignment horizontal="right"/>
    </xf>
    <xf numFmtId="0" fontId="2" fillId="6" borderId="0" xfId="0" applyFont="1" applyFill="1" applyBorder="1" applyAlignment="1">
      <alignment horizontal="left"/>
    </xf>
    <xf numFmtId="0" fontId="4" fillId="6" borderId="0" xfId="0" applyFont="1" applyFill="1"/>
    <xf numFmtId="0" fontId="2" fillId="6" borderId="6" xfId="0" applyFont="1" applyFill="1" applyBorder="1"/>
    <xf numFmtId="10" fontId="4" fillId="4" borderId="7" xfId="0" applyNumberFormat="1" applyFont="1" applyFill="1" applyBorder="1"/>
    <xf numFmtId="0" fontId="2" fillId="6" borderId="7" xfId="0" applyFont="1" applyFill="1" applyBorder="1"/>
    <xf numFmtId="10" fontId="4" fillId="3" borderId="7" xfId="0" applyNumberFormat="1" applyFont="1" applyFill="1" applyBorder="1"/>
    <xf numFmtId="10" fontId="3" fillId="5" borderId="7" xfId="0" applyNumberFormat="1" applyFont="1" applyFill="1" applyBorder="1"/>
    <xf numFmtId="10" fontId="3" fillId="6" borderId="7" xfId="0" applyNumberFormat="1" applyFont="1" applyFill="1" applyBorder="1"/>
    <xf numFmtId="10" fontId="2" fillId="10" borderId="7" xfId="0" applyNumberFormat="1" applyFont="1" applyFill="1" applyBorder="1"/>
    <xf numFmtId="10" fontId="2" fillId="6" borderId="7" xfId="0" applyNumberFormat="1" applyFont="1" applyFill="1" applyBorder="1"/>
    <xf numFmtId="0" fontId="2" fillId="6" borderId="7" xfId="0" applyFont="1" applyFill="1" applyBorder="1" applyAlignment="1">
      <alignment horizontal="right"/>
    </xf>
    <xf numFmtId="10" fontId="2" fillId="4" borderId="7" xfId="0" applyNumberFormat="1" applyFont="1" applyFill="1" applyBorder="1"/>
    <xf numFmtId="10" fontId="2" fillId="3" borderId="7" xfId="0" applyNumberFormat="1" applyFont="1" applyFill="1" applyBorder="1"/>
    <xf numFmtId="10" fontId="2" fillId="7" borderId="9" xfId="0" applyNumberFormat="1" applyFont="1" applyFill="1" applyBorder="1"/>
    <xf numFmtId="10" fontId="2" fillId="6" borderId="8" xfId="0" applyNumberFormat="1" applyFont="1" applyFill="1" applyBorder="1"/>
    <xf numFmtId="0" fontId="2" fillId="0" borderId="2" xfId="0" applyFont="1" applyBorder="1"/>
    <xf numFmtId="164" fontId="4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164" fontId="2" fillId="0" borderId="3" xfId="0" applyNumberFormat="1" applyFont="1" applyBorder="1"/>
    <xf numFmtId="0" fontId="2" fillId="7" borderId="11" xfId="0" applyFont="1" applyFill="1" applyBorder="1"/>
    <xf numFmtId="164" fontId="2" fillId="0" borderId="2" xfId="0" applyNumberFormat="1" applyFont="1" applyBorder="1"/>
    <xf numFmtId="10" fontId="2" fillId="0" borderId="4" xfId="0" applyNumberFormat="1" applyFont="1" applyBorder="1"/>
    <xf numFmtId="0" fontId="2" fillId="2" borderId="1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2" fillId="0" borderId="10" xfId="0" applyFont="1" applyBorder="1"/>
    <xf numFmtId="1" fontId="4" fillId="0" borderId="0" xfId="0" applyNumberFormat="1" applyFont="1" applyBorder="1"/>
    <xf numFmtId="1" fontId="2" fillId="0" borderId="0" xfId="0" applyNumberFormat="1" applyFont="1" applyBorder="1"/>
    <xf numFmtId="0" fontId="4" fillId="0" borderId="0" xfId="0" applyFont="1" applyBorder="1"/>
    <xf numFmtId="0" fontId="2" fillId="0" borderId="9" xfId="0" applyFont="1" applyBorder="1"/>
    <xf numFmtId="0" fontId="2" fillId="0" borderId="7" xfId="0" applyFont="1" applyFill="1" applyBorder="1"/>
    <xf numFmtId="10" fontId="6" fillId="3" borderId="7" xfId="0" applyNumberFormat="1" applyFont="1" applyFill="1" applyBorder="1"/>
    <xf numFmtId="1" fontId="2" fillId="0" borderId="7" xfId="0" applyNumberFormat="1" applyFont="1" applyBorder="1"/>
    <xf numFmtId="10" fontId="6" fillId="3" borderId="8" xfId="0" applyNumberFormat="1" applyFont="1" applyFill="1" applyBorder="1"/>
    <xf numFmtId="0" fontId="2" fillId="0" borderId="8" xfId="0" applyFont="1" applyBorder="1"/>
    <xf numFmtId="10" fontId="4" fillId="0" borderId="0" xfId="0" applyNumberFormat="1" applyFont="1" applyFill="1" applyBorder="1"/>
    <xf numFmtId="10" fontId="3" fillId="0" borderId="0" xfId="0" applyNumberFormat="1" applyFont="1" applyFill="1" applyBorder="1"/>
    <xf numFmtId="0" fontId="5" fillId="0" borderId="20" xfId="0" applyFont="1" applyBorder="1" applyAlignment="1">
      <alignment horizontal="center"/>
    </xf>
    <xf numFmtId="0" fontId="2" fillId="11" borderId="0" xfId="0" applyFont="1" applyFill="1" applyBorder="1"/>
    <xf numFmtId="0" fontId="4" fillId="11" borderId="0" xfId="0" applyFont="1" applyFill="1" applyBorder="1"/>
    <xf numFmtId="0" fontId="3" fillId="11" borderId="0" xfId="0" applyFont="1" applyFill="1" applyBorder="1"/>
    <xf numFmtId="0" fontId="3" fillId="11" borderId="5" xfId="0" applyFont="1" applyFill="1" applyBorder="1"/>
    <xf numFmtId="0" fontId="4" fillId="20" borderId="0" xfId="0" applyFont="1" applyFill="1" applyBorder="1"/>
    <xf numFmtId="0" fontId="8" fillId="3" borderId="7" xfId="0" applyFont="1" applyFill="1" applyBorder="1"/>
    <xf numFmtId="0" fontId="3" fillId="8" borderId="7" xfId="0" applyFont="1" applyFill="1" applyBorder="1"/>
    <xf numFmtId="0" fontId="4" fillId="3" borderId="7" xfId="0" applyFont="1" applyFill="1" applyBorder="1"/>
    <xf numFmtId="0" fontId="3" fillId="8" borderId="8" xfId="0" applyFont="1" applyFill="1" applyBorder="1"/>
    <xf numFmtId="0" fontId="3" fillId="11" borderId="0" xfId="0" applyFont="1" applyFill="1" applyBorder="1" applyAlignment="1">
      <alignment horizontal="right"/>
    </xf>
    <xf numFmtId="0" fontId="5" fillId="18" borderId="12" xfId="0" applyFont="1" applyFill="1" applyBorder="1" applyAlignment="1">
      <alignment horizontal="center"/>
    </xf>
    <xf numFmtId="164" fontId="4" fillId="18" borderId="0" xfId="0" applyNumberFormat="1" applyFont="1" applyFill="1" applyBorder="1"/>
    <xf numFmtId="164" fontId="4" fillId="18" borderId="13" xfId="0" applyNumberFormat="1" applyFont="1" applyFill="1" applyBorder="1"/>
    <xf numFmtId="164" fontId="2" fillId="18" borderId="13" xfId="0" applyNumberFormat="1" applyFont="1" applyFill="1" applyBorder="1"/>
    <xf numFmtId="164" fontId="2" fillId="18" borderId="14" xfId="0" applyNumberFormat="1" applyFont="1" applyFill="1" applyBorder="1"/>
    <xf numFmtId="0" fontId="4" fillId="17" borderId="15" xfId="0" applyFont="1" applyFill="1" applyBorder="1"/>
    <xf numFmtId="3" fontId="4" fillId="0" borderId="0" xfId="0" applyNumberFormat="1" applyFont="1" applyFill="1" applyBorder="1"/>
    <xf numFmtId="41" fontId="2" fillId="0" borderId="0" xfId="0" applyNumberFormat="1" applyFont="1"/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0" fontId="4" fillId="10" borderId="15" xfId="0" applyFont="1" applyFill="1" applyBorder="1"/>
    <xf numFmtId="0" fontId="2" fillId="3" borderId="15" xfId="0" applyFont="1" applyFill="1" applyBorder="1"/>
    <xf numFmtId="3" fontId="9" fillId="0" borderId="0" xfId="0" applyNumberFormat="1" applyFont="1"/>
    <xf numFmtId="0" fontId="2" fillId="12" borderId="15" xfId="0" applyFont="1" applyFill="1" applyBorder="1"/>
    <xf numFmtId="0" fontId="3" fillId="8" borderId="17" xfId="0" applyFont="1" applyFill="1" applyBorder="1"/>
    <xf numFmtId="0" fontId="4" fillId="0" borderId="18" xfId="0" applyFont="1" applyFill="1" applyBorder="1"/>
    <xf numFmtId="41" fontId="2" fillId="0" borderId="18" xfId="0" applyNumberFormat="1" applyFont="1" applyFill="1" applyBorder="1"/>
    <xf numFmtId="3" fontId="2" fillId="0" borderId="18" xfId="0" applyNumberFormat="1" applyFont="1" applyFill="1" applyBorder="1"/>
    <xf numFmtId="0" fontId="2" fillId="0" borderId="18" xfId="0" applyFont="1" applyFill="1" applyBorder="1"/>
    <xf numFmtId="0" fontId="10" fillId="19" borderId="18" xfId="0" applyFont="1" applyFill="1" applyBorder="1"/>
    <xf numFmtId="0" fontId="10" fillId="19" borderId="19" xfId="0" applyFont="1" applyFill="1" applyBorder="1"/>
    <xf numFmtId="3" fontId="11" fillId="0" borderId="0" xfId="1" applyNumberFormat="1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0" fontId="12" fillId="0" borderId="0" xfId="0" applyFont="1" applyFill="1" applyBorder="1" applyAlignment="1">
      <alignment horizontal="center"/>
    </xf>
    <xf numFmtId="0" fontId="8" fillId="0" borderId="0" xfId="0" applyFont="1" applyFill="1"/>
    <xf numFmtId="10" fontId="2" fillId="0" borderId="0" xfId="0" applyNumberFormat="1" applyFont="1" applyFill="1"/>
    <xf numFmtId="10" fontId="3" fillId="0" borderId="0" xfId="0" applyNumberFormat="1" applyFont="1"/>
    <xf numFmtId="0" fontId="12" fillId="0" borderId="0" xfId="0" applyFont="1"/>
    <xf numFmtId="0" fontId="6" fillId="0" borderId="0" xfId="0" applyFont="1"/>
    <xf numFmtId="1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3" fillId="0" borderId="0" xfId="0" applyNumberFormat="1" applyFont="1"/>
    <xf numFmtId="3" fontId="14" fillId="0" borderId="0" xfId="1" applyNumberFormat="1" applyFont="1"/>
    <xf numFmtId="3" fontId="4" fillId="0" borderId="0" xfId="0" applyNumberFormat="1" applyFont="1"/>
    <xf numFmtId="3" fontId="3" fillId="0" borderId="0" xfId="0" applyNumberFormat="1" applyFont="1"/>
    <xf numFmtId="3" fontId="15" fillId="0" borderId="0" xfId="1" applyNumberFormat="1" applyFont="1"/>
    <xf numFmtId="3" fontId="16" fillId="0" borderId="0" xfId="0" applyNumberFormat="1" applyFont="1"/>
    <xf numFmtId="3" fontId="17" fillId="0" borderId="0" xfId="1" applyNumberFormat="1" applyFont="1"/>
    <xf numFmtId="10" fontId="8" fillId="0" borderId="0" xfId="0" applyNumberFormat="1" applyFont="1"/>
    <xf numFmtId="0" fontId="2" fillId="0" borderId="2" xfId="0" applyFont="1" applyFill="1" applyBorder="1"/>
    <xf numFmtId="10" fontId="2" fillId="0" borderId="2" xfId="0" applyNumberFormat="1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1" xfId="0" applyFont="1" applyBorder="1"/>
    <xf numFmtId="0" fontId="5" fillId="0" borderId="0" xfId="0" applyFont="1" applyBorder="1"/>
    <xf numFmtId="0" fontId="8" fillId="3" borderId="0" xfId="0" applyFont="1" applyFill="1" applyBorder="1"/>
    <xf numFmtId="0" fontId="3" fillId="8" borderId="0" xfId="0" applyFont="1" applyFill="1" applyBorder="1"/>
    <xf numFmtId="0" fontId="20" fillId="0" borderId="0" xfId="0" applyFont="1"/>
    <xf numFmtId="0" fontId="19" fillId="0" borderId="0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19" fillId="16" borderId="25" xfId="0" applyFont="1" applyFill="1" applyBorder="1" applyAlignment="1">
      <alignment horizontal="center"/>
    </xf>
    <xf numFmtId="0" fontId="19" fillId="9" borderId="25" xfId="0" applyFont="1" applyFill="1" applyBorder="1" applyAlignment="1">
      <alignment horizontal="center"/>
    </xf>
    <xf numFmtId="0" fontId="19" fillId="15" borderId="25" xfId="0" applyFont="1" applyFill="1" applyBorder="1" applyAlignment="1">
      <alignment horizontal="center"/>
    </xf>
    <xf numFmtId="0" fontId="19" fillId="14" borderId="25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0" fontId="4" fillId="0" borderId="27" xfId="0" applyFont="1" applyFill="1" applyBorder="1"/>
    <xf numFmtId="0" fontId="18" fillId="13" borderId="28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Fill="1" applyBorder="1" applyAlignment="1">
      <alignment horizontal="center"/>
    </xf>
    <xf numFmtId="0" fontId="2" fillId="3" borderId="29" xfId="0" applyFont="1" applyFill="1" applyBorder="1"/>
    <xf numFmtId="0" fontId="3" fillId="8" borderId="30" xfId="0" applyFont="1" applyFill="1" applyBorder="1"/>
    <xf numFmtId="0" fontId="2" fillId="3" borderId="30" xfId="0" applyFont="1" applyFill="1" applyBorder="1"/>
    <xf numFmtId="0" fontId="3" fillId="8" borderId="31" xfId="0" applyFont="1" applyFill="1" applyBorder="1"/>
    <xf numFmtId="164" fontId="4" fillId="21" borderId="0" xfId="0" applyNumberFormat="1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7" xfId="0" applyFont="1" applyFill="1" applyBorder="1"/>
    <xf numFmtId="10" fontId="19" fillId="15" borderId="21" xfId="0" applyNumberFormat="1" applyFont="1" applyFill="1" applyBorder="1" applyAlignment="1">
      <alignment horizontal="right"/>
    </xf>
    <xf numFmtId="10" fontId="19" fillId="15" borderId="22" xfId="0" applyNumberFormat="1" applyFont="1" applyFill="1" applyBorder="1" applyAlignment="1">
      <alignment horizontal="right"/>
    </xf>
    <xf numFmtId="0" fontId="19" fillId="3" borderId="23" xfId="0" applyFont="1" applyFill="1" applyBorder="1" applyAlignment="1">
      <alignment horizontal="right"/>
    </xf>
    <xf numFmtId="0" fontId="19" fillId="3" borderId="24" xfId="0" applyFont="1" applyFill="1" applyBorder="1" applyAlignment="1">
      <alignment horizontal="right"/>
    </xf>
    <xf numFmtId="164" fontId="4" fillId="0" borderId="0" xfId="0" applyNumberFormat="1" applyFont="1" applyFill="1" applyBorder="1"/>
    <xf numFmtId="10" fontId="4" fillId="5" borderId="0" xfId="0" applyNumberFormat="1" applyFont="1" applyFill="1"/>
    <xf numFmtId="10" fontId="23" fillId="3" borderId="0" xfId="0" applyNumberFormat="1" applyFont="1" applyFill="1"/>
    <xf numFmtId="0" fontId="4" fillId="9" borderId="4" xfId="0" applyFont="1" applyFill="1" applyBorder="1"/>
    <xf numFmtId="0" fontId="2" fillId="6" borderId="0" xfId="0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41" fontId="24" fillId="0" borderId="0" xfId="0" applyNumberFormat="1" applyFont="1"/>
    <xf numFmtId="41" fontId="19" fillId="0" borderId="0" xfId="0" applyNumberFormat="1" applyFont="1" applyAlignment="1">
      <alignment horizontal="right"/>
    </xf>
    <xf numFmtId="41" fontId="25" fillId="0" borderId="0" xfId="0" applyNumberFormat="1" applyFont="1"/>
    <xf numFmtId="41" fontId="24" fillId="0" borderId="5" xfId="0" applyNumberFormat="1" applyFont="1" applyBorder="1"/>
    <xf numFmtId="41" fontId="25" fillId="0" borderId="5" xfId="0" applyNumberFormat="1" applyFont="1" applyBorder="1"/>
    <xf numFmtId="41" fontId="24" fillId="0" borderId="32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HOSPITALIZATIONS &amp; DEATHS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Sheet1!$B$75</c:f>
              <c:strCache>
                <c:ptCount val="1"/>
                <c:pt idx="0">
                  <c:v>Hospitalized: Stable</c:v>
                </c:pt>
              </c:strCache>
            </c:strRef>
          </c:tx>
          <c:spPr>
            <a:ln w="381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Sheet1!$C$73:$AJ$73</c:f>
              <c:strCache>
                <c:ptCount val="34"/>
                <c:pt idx="0">
                  <c:v>March 14, 2021</c:v>
                </c:pt>
                <c:pt idx="1">
                  <c:v>March 7, 2021</c:v>
                </c:pt>
                <c:pt idx="2">
                  <c:v>February 28, 2021</c:v>
                </c:pt>
                <c:pt idx="3">
                  <c:v>February 21, 2021</c:v>
                </c:pt>
                <c:pt idx="4">
                  <c:v>February 14, 2021</c:v>
                </c:pt>
                <c:pt idx="5">
                  <c:v>February 7, 2021</c:v>
                </c:pt>
                <c:pt idx="6">
                  <c:v>January 31, 2021</c:v>
                </c:pt>
                <c:pt idx="7">
                  <c:v>January 24, 2021</c:v>
                </c:pt>
                <c:pt idx="8">
                  <c:v>January 17, 2021</c:v>
                </c:pt>
                <c:pt idx="9">
                  <c:v>January 10, 2021</c:v>
                </c:pt>
                <c:pt idx="10">
                  <c:v>January 3, 2021</c:v>
                </c:pt>
                <c:pt idx="11">
                  <c:v>December 27, 2020</c:v>
                </c:pt>
                <c:pt idx="12">
                  <c:v>December 20, 2020</c:v>
                </c:pt>
                <c:pt idx="13">
                  <c:v>December 13, 2020</c:v>
                </c:pt>
                <c:pt idx="14">
                  <c:v>December 6, 2020</c:v>
                </c:pt>
                <c:pt idx="15">
                  <c:v>November 29, 2020</c:v>
                </c:pt>
                <c:pt idx="16">
                  <c:v>November 22, 2020</c:v>
                </c:pt>
                <c:pt idx="17">
                  <c:v>November 15, 2020</c:v>
                </c:pt>
                <c:pt idx="18">
                  <c:v>November 8, 2020</c:v>
                </c:pt>
                <c:pt idx="19">
                  <c:v>November 1, 2020</c:v>
                </c:pt>
                <c:pt idx="20">
                  <c:v>October 25, 2020</c:v>
                </c:pt>
                <c:pt idx="21">
                  <c:v>October 18, 2020</c:v>
                </c:pt>
                <c:pt idx="22">
                  <c:v>October 11, 2020</c:v>
                </c:pt>
                <c:pt idx="23">
                  <c:v>October 4, 2020</c:v>
                </c:pt>
                <c:pt idx="24">
                  <c:v>Sept. 27, 2020</c:v>
                </c:pt>
                <c:pt idx="25">
                  <c:v>Sept. 20, 2020</c:v>
                </c:pt>
                <c:pt idx="26">
                  <c:v>Sept. 13, 2020</c:v>
                </c:pt>
                <c:pt idx="27">
                  <c:v>Sept. 06, 2020</c:v>
                </c:pt>
                <c:pt idx="28">
                  <c:v>Aug. 30, 2020</c:v>
                </c:pt>
                <c:pt idx="29">
                  <c:v>Aug. 23, 2020</c:v>
                </c:pt>
                <c:pt idx="30">
                  <c:v>Aug. 16, 2020</c:v>
                </c:pt>
                <c:pt idx="31">
                  <c:v>Aug. 09, 2020</c:v>
                </c:pt>
                <c:pt idx="32">
                  <c:v>Aug. 02, 2020</c:v>
                </c:pt>
                <c:pt idx="33">
                  <c:v>July 26, 2020</c:v>
                </c:pt>
              </c:strCache>
            </c:strRef>
          </c:cat>
          <c:val>
            <c:numRef>
              <c:f>Sheet1!$C$75:$AJ$75</c:f>
              <c:numCache>
                <c:formatCode>General</c:formatCode>
                <c:ptCount val="34"/>
                <c:pt idx="0">
                  <c:v>939</c:v>
                </c:pt>
                <c:pt idx="1">
                  <c:v>850</c:v>
                </c:pt>
                <c:pt idx="2">
                  <c:v>855</c:v>
                </c:pt>
                <c:pt idx="3">
                  <c:v>729</c:v>
                </c:pt>
                <c:pt idx="4">
                  <c:v>782</c:v>
                </c:pt>
                <c:pt idx="5">
                  <c:v>818</c:v>
                </c:pt>
                <c:pt idx="6">
                  <c:v>886</c:v>
                </c:pt>
                <c:pt idx="7">
                  <c:v>830</c:v>
                </c:pt>
                <c:pt idx="8">
                  <c:v>712</c:v>
                </c:pt>
                <c:pt idx="9" formatCode="_(* #,##0_);_(* \(#,##0\);_(* &quot;-&quot;_);_(@_)">
                  <c:v>631</c:v>
                </c:pt>
                <c:pt idx="10" formatCode="_(* #,##0_);_(* \(#,##0\);_(* &quot;-&quot;_);_(@_)">
                  <c:v>591</c:v>
                </c:pt>
                <c:pt idx="11" formatCode="_(* #,##0_);_(* \(#,##0\);_(* &quot;-&quot;_);_(@_)">
                  <c:v>464</c:v>
                </c:pt>
                <c:pt idx="12" formatCode="_(* #,##0_);_(* \(#,##0\);_(* &quot;-&quot;_);_(@_)">
                  <c:v>444</c:v>
                </c:pt>
                <c:pt idx="13" formatCode="#,##0">
                  <c:v>433</c:v>
                </c:pt>
                <c:pt idx="14" formatCode="#,##0">
                  <c:v>526</c:v>
                </c:pt>
                <c:pt idx="15" formatCode="#,##0">
                  <c:v>486</c:v>
                </c:pt>
                <c:pt idx="16" formatCode="#,##0">
                  <c:v>483</c:v>
                </c:pt>
                <c:pt idx="17" formatCode="#,##0">
                  <c:v>504</c:v>
                </c:pt>
                <c:pt idx="18" formatCode="#,##0">
                  <c:v>490</c:v>
                </c:pt>
                <c:pt idx="19" formatCode="#,##0">
                  <c:v>531</c:v>
                </c:pt>
                <c:pt idx="20" formatCode="#,##0">
                  <c:v>493</c:v>
                </c:pt>
                <c:pt idx="21" formatCode="#,##0">
                  <c:v>521</c:v>
                </c:pt>
                <c:pt idx="22" formatCode="#,##0">
                  <c:v>518</c:v>
                </c:pt>
                <c:pt idx="23" formatCode="#,##0">
                  <c:v>641</c:v>
                </c:pt>
                <c:pt idx="24" formatCode="#,##0">
                  <c:v>725</c:v>
                </c:pt>
                <c:pt idx="25" formatCode="#,##0">
                  <c:v>685</c:v>
                </c:pt>
                <c:pt idx="26" formatCode="#,##0">
                  <c:v>767</c:v>
                </c:pt>
                <c:pt idx="27" formatCode="#,##0">
                  <c:v>885</c:v>
                </c:pt>
                <c:pt idx="28">
                  <c:v>874</c:v>
                </c:pt>
                <c:pt idx="29" formatCode="#,##0">
                  <c:v>744</c:v>
                </c:pt>
                <c:pt idx="30" formatCode="#,##0">
                  <c:v>944</c:v>
                </c:pt>
                <c:pt idx="31" formatCode="#,##0">
                  <c:v>874</c:v>
                </c:pt>
                <c:pt idx="32" formatCode="#,##0">
                  <c:v>859</c:v>
                </c:pt>
                <c:pt idx="33" formatCode="#,##0">
                  <c:v>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C-FC47-8CBB-2F3887DD32EA}"/>
            </c:ext>
          </c:extLst>
        </c:ser>
        <c:ser>
          <c:idx val="1"/>
          <c:order val="1"/>
          <c:tx>
            <c:strRef>
              <c:f>Sheet1!$B$76</c:f>
              <c:strCache>
                <c:ptCount val="1"/>
                <c:pt idx="0">
                  <c:v>Hospitalized: ICU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Sheet1!$C$73:$AJ$73</c:f>
              <c:strCache>
                <c:ptCount val="34"/>
                <c:pt idx="0">
                  <c:v>March 14, 2021</c:v>
                </c:pt>
                <c:pt idx="1">
                  <c:v>March 7, 2021</c:v>
                </c:pt>
                <c:pt idx="2">
                  <c:v>February 28, 2021</c:v>
                </c:pt>
                <c:pt idx="3">
                  <c:v>February 21, 2021</c:v>
                </c:pt>
                <c:pt idx="4">
                  <c:v>February 14, 2021</c:v>
                </c:pt>
                <c:pt idx="5">
                  <c:v>February 7, 2021</c:v>
                </c:pt>
                <c:pt idx="6">
                  <c:v>January 31, 2021</c:v>
                </c:pt>
                <c:pt idx="7">
                  <c:v>January 24, 2021</c:v>
                </c:pt>
                <c:pt idx="8">
                  <c:v>January 17, 2021</c:v>
                </c:pt>
                <c:pt idx="9">
                  <c:v>January 10, 2021</c:v>
                </c:pt>
                <c:pt idx="10">
                  <c:v>January 3, 2021</c:v>
                </c:pt>
                <c:pt idx="11">
                  <c:v>December 27, 2020</c:v>
                </c:pt>
                <c:pt idx="12">
                  <c:v>December 20, 2020</c:v>
                </c:pt>
                <c:pt idx="13">
                  <c:v>December 13, 2020</c:v>
                </c:pt>
                <c:pt idx="14">
                  <c:v>December 6, 2020</c:v>
                </c:pt>
                <c:pt idx="15">
                  <c:v>November 29, 2020</c:v>
                </c:pt>
                <c:pt idx="16">
                  <c:v>November 22, 2020</c:v>
                </c:pt>
                <c:pt idx="17">
                  <c:v>November 15, 2020</c:v>
                </c:pt>
                <c:pt idx="18">
                  <c:v>November 8, 2020</c:v>
                </c:pt>
                <c:pt idx="19">
                  <c:v>November 1, 2020</c:v>
                </c:pt>
                <c:pt idx="20">
                  <c:v>October 25, 2020</c:v>
                </c:pt>
                <c:pt idx="21">
                  <c:v>October 18, 2020</c:v>
                </c:pt>
                <c:pt idx="22">
                  <c:v>October 11, 2020</c:v>
                </c:pt>
                <c:pt idx="23">
                  <c:v>October 4, 2020</c:v>
                </c:pt>
                <c:pt idx="24">
                  <c:v>Sept. 27, 2020</c:v>
                </c:pt>
                <c:pt idx="25">
                  <c:v>Sept. 20, 2020</c:v>
                </c:pt>
                <c:pt idx="26">
                  <c:v>Sept. 13, 2020</c:v>
                </c:pt>
                <c:pt idx="27">
                  <c:v>Sept. 06, 2020</c:v>
                </c:pt>
                <c:pt idx="28">
                  <c:v>Aug. 30, 2020</c:v>
                </c:pt>
                <c:pt idx="29">
                  <c:v>Aug. 23, 2020</c:v>
                </c:pt>
                <c:pt idx="30">
                  <c:v>Aug. 16, 2020</c:v>
                </c:pt>
                <c:pt idx="31">
                  <c:v>Aug. 09, 2020</c:v>
                </c:pt>
                <c:pt idx="32">
                  <c:v>Aug. 02, 2020</c:v>
                </c:pt>
                <c:pt idx="33">
                  <c:v>July 26, 2020</c:v>
                </c:pt>
              </c:strCache>
            </c:strRef>
          </c:cat>
          <c:val>
            <c:numRef>
              <c:f>Sheet1!$C$76:$AJ$76</c:f>
              <c:numCache>
                <c:formatCode>General</c:formatCode>
                <c:ptCount val="34"/>
                <c:pt idx="0">
                  <c:v>519</c:v>
                </c:pt>
                <c:pt idx="1">
                  <c:v>516</c:v>
                </c:pt>
                <c:pt idx="2">
                  <c:v>532</c:v>
                </c:pt>
                <c:pt idx="3">
                  <c:v>490</c:v>
                </c:pt>
                <c:pt idx="4">
                  <c:v>475</c:v>
                </c:pt>
                <c:pt idx="5">
                  <c:v>492</c:v>
                </c:pt>
                <c:pt idx="6">
                  <c:v>529</c:v>
                </c:pt>
                <c:pt idx="7">
                  <c:v>510</c:v>
                </c:pt>
                <c:pt idx="8">
                  <c:v>488</c:v>
                </c:pt>
                <c:pt idx="9" formatCode="_(* #,##0_);_(* \(#,##0\);_(* &quot;-&quot;_);_(@_)">
                  <c:v>438</c:v>
                </c:pt>
                <c:pt idx="10" formatCode="_(* #,##0_);_(* \(#,##0\);_(* &quot;-&quot;_);_(@_)">
                  <c:v>393</c:v>
                </c:pt>
                <c:pt idx="11" formatCode="_(* #,##0_);_(* \(#,##0\);_(* &quot;-&quot;_);_(@_)">
                  <c:v>364</c:v>
                </c:pt>
                <c:pt idx="12" formatCode="_(* #,##0_);_(* \(#,##0\);_(* &quot;-&quot;_);_(@_)">
                  <c:v>371</c:v>
                </c:pt>
                <c:pt idx="13" formatCode="#,##0">
                  <c:v>335</c:v>
                </c:pt>
                <c:pt idx="14" formatCode="#,##0">
                  <c:v>356</c:v>
                </c:pt>
                <c:pt idx="15" formatCode="#,##0">
                  <c:v>371</c:v>
                </c:pt>
                <c:pt idx="16" formatCode="#,##0">
                  <c:v>369</c:v>
                </c:pt>
                <c:pt idx="17" formatCode="#,##0">
                  <c:v>354</c:v>
                </c:pt>
                <c:pt idx="18" formatCode="#,##0">
                  <c:v>343</c:v>
                </c:pt>
                <c:pt idx="19" formatCode="#,##0">
                  <c:v>342</c:v>
                </c:pt>
                <c:pt idx="20" formatCode="#,##0">
                  <c:v>365</c:v>
                </c:pt>
                <c:pt idx="21" formatCode="#,##0">
                  <c:v>365</c:v>
                </c:pt>
                <c:pt idx="22" formatCode="#,##0">
                  <c:v>360</c:v>
                </c:pt>
                <c:pt idx="23" formatCode="#,##0">
                  <c:v>354</c:v>
                </c:pt>
                <c:pt idx="24" formatCode="#,##0">
                  <c:v>355</c:v>
                </c:pt>
                <c:pt idx="25" formatCode="#,##0">
                  <c:v>377</c:v>
                </c:pt>
                <c:pt idx="26" formatCode="#,##0">
                  <c:v>378</c:v>
                </c:pt>
                <c:pt idx="27" formatCode="#,##0">
                  <c:v>424</c:v>
                </c:pt>
                <c:pt idx="28" formatCode="#,##0">
                  <c:v>377</c:v>
                </c:pt>
                <c:pt idx="29" formatCode="#,##0">
                  <c:v>359</c:v>
                </c:pt>
                <c:pt idx="30" formatCode="#,##0">
                  <c:v>376</c:v>
                </c:pt>
                <c:pt idx="31" formatCode="#,##0">
                  <c:v>356</c:v>
                </c:pt>
                <c:pt idx="32" formatCode="#,##0">
                  <c:v>363</c:v>
                </c:pt>
                <c:pt idx="33" formatCode="#,##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C-FC47-8CBB-2F3887DD32EA}"/>
            </c:ext>
          </c:extLst>
        </c:ser>
        <c:ser>
          <c:idx val="2"/>
          <c:order val="2"/>
          <c:tx>
            <c:strRef>
              <c:f>Sheet1!$B$77</c:f>
              <c:strCache>
                <c:ptCount val="1"/>
                <c:pt idx="0">
                  <c:v>Total Hospitalized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Sheet1!$C$73:$AJ$73</c:f>
              <c:strCache>
                <c:ptCount val="34"/>
                <c:pt idx="0">
                  <c:v>March 14, 2021</c:v>
                </c:pt>
                <c:pt idx="1">
                  <c:v>March 7, 2021</c:v>
                </c:pt>
                <c:pt idx="2">
                  <c:v>February 28, 2021</c:v>
                </c:pt>
                <c:pt idx="3">
                  <c:v>February 21, 2021</c:v>
                </c:pt>
                <c:pt idx="4">
                  <c:v>February 14, 2021</c:v>
                </c:pt>
                <c:pt idx="5">
                  <c:v>February 7, 2021</c:v>
                </c:pt>
                <c:pt idx="6">
                  <c:v>January 31, 2021</c:v>
                </c:pt>
                <c:pt idx="7">
                  <c:v>January 24, 2021</c:v>
                </c:pt>
                <c:pt idx="8">
                  <c:v>January 17, 2021</c:v>
                </c:pt>
                <c:pt idx="9">
                  <c:v>January 10, 2021</c:v>
                </c:pt>
                <c:pt idx="10">
                  <c:v>January 3, 2021</c:v>
                </c:pt>
                <c:pt idx="11">
                  <c:v>December 27, 2020</c:v>
                </c:pt>
                <c:pt idx="12">
                  <c:v>December 20, 2020</c:v>
                </c:pt>
                <c:pt idx="13">
                  <c:v>December 13, 2020</c:v>
                </c:pt>
                <c:pt idx="14">
                  <c:v>December 6, 2020</c:v>
                </c:pt>
                <c:pt idx="15">
                  <c:v>November 29, 2020</c:v>
                </c:pt>
                <c:pt idx="16">
                  <c:v>November 22, 2020</c:v>
                </c:pt>
                <c:pt idx="17">
                  <c:v>November 15, 2020</c:v>
                </c:pt>
                <c:pt idx="18">
                  <c:v>November 8, 2020</c:v>
                </c:pt>
                <c:pt idx="19">
                  <c:v>November 1, 2020</c:v>
                </c:pt>
                <c:pt idx="20">
                  <c:v>October 25, 2020</c:v>
                </c:pt>
                <c:pt idx="21">
                  <c:v>October 18, 2020</c:v>
                </c:pt>
                <c:pt idx="22">
                  <c:v>October 11, 2020</c:v>
                </c:pt>
                <c:pt idx="23">
                  <c:v>October 4, 2020</c:v>
                </c:pt>
                <c:pt idx="24">
                  <c:v>Sept. 27, 2020</c:v>
                </c:pt>
                <c:pt idx="25">
                  <c:v>Sept. 20, 2020</c:v>
                </c:pt>
                <c:pt idx="26">
                  <c:v>Sept. 13, 2020</c:v>
                </c:pt>
                <c:pt idx="27">
                  <c:v>Sept. 06, 2020</c:v>
                </c:pt>
                <c:pt idx="28">
                  <c:v>Aug. 30, 2020</c:v>
                </c:pt>
                <c:pt idx="29">
                  <c:v>Aug. 23, 2020</c:v>
                </c:pt>
                <c:pt idx="30">
                  <c:v>Aug. 16, 2020</c:v>
                </c:pt>
                <c:pt idx="31">
                  <c:v>Aug. 09, 2020</c:v>
                </c:pt>
                <c:pt idx="32">
                  <c:v>Aug. 02, 2020</c:v>
                </c:pt>
                <c:pt idx="33">
                  <c:v>July 26, 2020</c:v>
                </c:pt>
              </c:strCache>
            </c:strRef>
          </c:cat>
          <c:val>
            <c:numRef>
              <c:f>Sheet1!$C$77:$AJ$77</c:f>
              <c:numCache>
                <c:formatCode>#,##0</c:formatCode>
                <c:ptCount val="34"/>
                <c:pt idx="0">
                  <c:v>1458</c:v>
                </c:pt>
                <c:pt idx="1">
                  <c:v>1366</c:v>
                </c:pt>
                <c:pt idx="2">
                  <c:v>1387</c:v>
                </c:pt>
                <c:pt idx="3">
                  <c:v>1219</c:v>
                </c:pt>
                <c:pt idx="4">
                  <c:v>1257</c:v>
                </c:pt>
                <c:pt idx="5">
                  <c:v>1310</c:v>
                </c:pt>
                <c:pt idx="6">
                  <c:v>1415</c:v>
                </c:pt>
                <c:pt idx="7">
                  <c:v>1340</c:v>
                </c:pt>
                <c:pt idx="8">
                  <c:v>1200</c:v>
                </c:pt>
                <c:pt idx="9">
                  <c:v>1069</c:v>
                </c:pt>
                <c:pt idx="10">
                  <c:v>984</c:v>
                </c:pt>
                <c:pt idx="11">
                  <c:v>828</c:v>
                </c:pt>
                <c:pt idx="12">
                  <c:v>815</c:v>
                </c:pt>
                <c:pt idx="13">
                  <c:v>768</c:v>
                </c:pt>
                <c:pt idx="14">
                  <c:v>882</c:v>
                </c:pt>
                <c:pt idx="15">
                  <c:v>857</c:v>
                </c:pt>
                <c:pt idx="16">
                  <c:v>852</c:v>
                </c:pt>
                <c:pt idx="17">
                  <c:v>858</c:v>
                </c:pt>
                <c:pt idx="18">
                  <c:v>833</c:v>
                </c:pt>
                <c:pt idx="19">
                  <c:v>873</c:v>
                </c:pt>
                <c:pt idx="20">
                  <c:v>858</c:v>
                </c:pt>
                <c:pt idx="21">
                  <c:v>886</c:v>
                </c:pt>
                <c:pt idx="22">
                  <c:v>878</c:v>
                </c:pt>
                <c:pt idx="23">
                  <c:v>995</c:v>
                </c:pt>
                <c:pt idx="24">
                  <c:v>1080</c:v>
                </c:pt>
                <c:pt idx="25">
                  <c:v>1062</c:v>
                </c:pt>
                <c:pt idx="26">
                  <c:v>1145</c:v>
                </c:pt>
                <c:pt idx="27">
                  <c:v>1309</c:v>
                </c:pt>
                <c:pt idx="28">
                  <c:v>1251</c:v>
                </c:pt>
                <c:pt idx="29">
                  <c:v>1103</c:v>
                </c:pt>
                <c:pt idx="30">
                  <c:v>1320</c:v>
                </c:pt>
                <c:pt idx="31">
                  <c:v>1230</c:v>
                </c:pt>
                <c:pt idx="32">
                  <c:v>1222</c:v>
                </c:pt>
                <c:pt idx="33">
                  <c:v>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C-FC47-8CBB-2F3887DD32EA}"/>
            </c:ext>
          </c:extLst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New Deaths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Sheet1!$C$73:$AJ$73</c:f>
              <c:strCache>
                <c:ptCount val="34"/>
                <c:pt idx="0">
                  <c:v>March 14, 2021</c:v>
                </c:pt>
                <c:pt idx="1">
                  <c:v>March 7, 2021</c:v>
                </c:pt>
                <c:pt idx="2">
                  <c:v>February 28, 2021</c:v>
                </c:pt>
                <c:pt idx="3">
                  <c:v>February 21, 2021</c:v>
                </c:pt>
                <c:pt idx="4">
                  <c:v>February 14, 2021</c:v>
                </c:pt>
                <c:pt idx="5">
                  <c:v>February 7, 2021</c:v>
                </c:pt>
                <c:pt idx="6">
                  <c:v>January 31, 2021</c:v>
                </c:pt>
                <c:pt idx="7">
                  <c:v>January 24, 2021</c:v>
                </c:pt>
                <c:pt idx="8">
                  <c:v>January 17, 2021</c:v>
                </c:pt>
                <c:pt idx="9">
                  <c:v>January 10, 2021</c:v>
                </c:pt>
                <c:pt idx="10">
                  <c:v>January 3, 2021</c:v>
                </c:pt>
                <c:pt idx="11">
                  <c:v>December 27, 2020</c:v>
                </c:pt>
                <c:pt idx="12">
                  <c:v>December 20, 2020</c:v>
                </c:pt>
                <c:pt idx="13">
                  <c:v>December 13, 2020</c:v>
                </c:pt>
                <c:pt idx="14">
                  <c:v>December 6, 2020</c:v>
                </c:pt>
                <c:pt idx="15">
                  <c:v>November 29, 2020</c:v>
                </c:pt>
                <c:pt idx="16">
                  <c:v>November 22, 2020</c:v>
                </c:pt>
                <c:pt idx="17">
                  <c:v>November 15, 2020</c:v>
                </c:pt>
                <c:pt idx="18">
                  <c:v>November 8, 2020</c:v>
                </c:pt>
                <c:pt idx="19">
                  <c:v>November 1, 2020</c:v>
                </c:pt>
                <c:pt idx="20">
                  <c:v>October 25, 2020</c:v>
                </c:pt>
                <c:pt idx="21">
                  <c:v>October 18, 2020</c:v>
                </c:pt>
                <c:pt idx="22">
                  <c:v>October 11, 2020</c:v>
                </c:pt>
                <c:pt idx="23">
                  <c:v>October 4, 2020</c:v>
                </c:pt>
                <c:pt idx="24">
                  <c:v>Sept. 27, 2020</c:v>
                </c:pt>
                <c:pt idx="25">
                  <c:v>Sept. 20, 2020</c:v>
                </c:pt>
                <c:pt idx="26">
                  <c:v>Sept. 13, 2020</c:v>
                </c:pt>
                <c:pt idx="27">
                  <c:v>Sept. 06, 2020</c:v>
                </c:pt>
                <c:pt idx="28">
                  <c:v>Aug. 30, 2020</c:v>
                </c:pt>
                <c:pt idx="29">
                  <c:v>Aug. 23, 2020</c:v>
                </c:pt>
                <c:pt idx="30">
                  <c:v>Aug. 16, 2020</c:v>
                </c:pt>
                <c:pt idx="31">
                  <c:v>Aug. 09, 2020</c:v>
                </c:pt>
                <c:pt idx="32">
                  <c:v>Aug. 02, 2020</c:v>
                </c:pt>
                <c:pt idx="33">
                  <c:v>July 26, 2020</c:v>
                </c:pt>
              </c:strCache>
            </c:strRef>
          </c:cat>
          <c:val>
            <c:numRef>
              <c:f>Sheet1!$C$78:$AJ$78</c:f>
              <c:numCache>
                <c:formatCode>General</c:formatCode>
                <c:ptCount val="34"/>
                <c:pt idx="0">
                  <c:v>197</c:v>
                </c:pt>
                <c:pt idx="1">
                  <c:v>228</c:v>
                </c:pt>
                <c:pt idx="2">
                  <c:v>275</c:v>
                </c:pt>
                <c:pt idx="3">
                  <c:v>215</c:v>
                </c:pt>
                <c:pt idx="4">
                  <c:v>309</c:v>
                </c:pt>
                <c:pt idx="5">
                  <c:v>153</c:v>
                </c:pt>
                <c:pt idx="6">
                  <c:v>236</c:v>
                </c:pt>
                <c:pt idx="7">
                  <c:v>304</c:v>
                </c:pt>
                <c:pt idx="8">
                  <c:v>142</c:v>
                </c:pt>
                <c:pt idx="9" formatCode="_(* #,##0_);_(* \(#,##0\);_(* &quot;-&quot;_);_(@_)">
                  <c:v>126</c:v>
                </c:pt>
                <c:pt idx="10" formatCode="_(* #,##0_);_(* \(#,##0\);_(* &quot;-&quot;_);_(@_)">
                  <c:v>59</c:v>
                </c:pt>
                <c:pt idx="11" formatCode="_(* #,##0_);_(* \(#,##0\);_(* &quot;-&quot;_);_(@_)">
                  <c:v>44</c:v>
                </c:pt>
                <c:pt idx="12" formatCode="_(* #,##0_);_(* \(#,##0\);_(* &quot;-&quot;_);_(@_)">
                  <c:v>73</c:v>
                </c:pt>
                <c:pt idx="13" formatCode="#,##0">
                  <c:v>97</c:v>
                </c:pt>
                <c:pt idx="14" formatCode="#,##0">
                  <c:v>355</c:v>
                </c:pt>
                <c:pt idx="15">
                  <c:v>222</c:v>
                </c:pt>
                <c:pt idx="16">
                  <c:v>193</c:v>
                </c:pt>
                <c:pt idx="17">
                  <c:v>178</c:v>
                </c:pt>
                <c:pt idx="18">
                  <c:v>146</c:v>
                </c:pt>
                <c:pt idx="19">
                  <c:v>131</c:v>
                </c:pt>
                <c:pt idx="20">
                  <c:v>166</c:v>
                </c:pt>
                <c:pt idx="21">
                  <c:v>196</c:v>
                </c:pt>
                <c:pt idx="22">
                  <c:v>544</c:v>
                </c:pt>
                <c:pt idx="23">
                  <c:v>368</c:v>
                </c:pt>
                <c:pt idx="24">
                  <c:v>189</c:v>
                </c:pt>
                <c:pt idx="25">
                  <c:v>187</c:v>
                </c:pt>
                <c:pt idx="26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2C-FC47-8CBB-2F3887DD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80576"/>
        <c:axId val="142396400"/>
      </c:lineChart>
      <c:catAx>
        <c:axId val="137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96400"/>
        <c:crosses val="autoZero"/>
        <c:auto val="1"/>
        <c:lblAlgn val="ctr"/>
        <c:lblOffset val="100"/>
        <c:noMultiLvlLbl val="0"/>
      </c:catAx>
      <c:valAx>
        <c:axId val="1423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8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chemeClr val="bg2">
              <a:lumMod val="9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Tests Added to Results Since February 28,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Sheet1!$B$148:$B$174</c:f>
              <c:numCache>
                <c:formatCode>General</c:formatCode>
                <c:ptCount val="27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22</c:v>
                </c:pt>
                <c:pt idx="4">
                  <c:v>36</c:v>
                </c:pt>
                <c:pt idx="5">
                  <c:v>40</c:v>
                </c:pt>
                <c:pt idx="6">
                  <c:v>41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numCache>
            </c:numRef>
          </c:cat>
          <c:val>
            <c:numRef>
              <c:f>Sheet1!$C$148:$C$174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14</c:v>
                </c:pt>
                <c:pt idx="13">
                  <c:v>20</c:v>
                </c:pt>
                <c:pt idx="14">
                  <c:v>30</c:v>
                </c:pt>
                <c:pt idx="15">
                  <c:v>33</c:v>
                </c:pt>
                <c:pt idx="16">
                  <c:v>15</c:v>
                </c:pt>
                <c:pt idx="17">
                  <c:v>32</c:v>
                </c:pt>
                <c:pt idx="18">
                  <c:v>135</c:v>
                </c:pt>
                <c:pt idx="19">
                  <c:v>132</c:v>
                </c:pt>
                <c:pt idx="20">
                  <c:v>71</c:v>
                </c:pt>
                <c:pt idx="21">
                  <c:v>76</c:v>
                </c:pt>
                <c:pt idx="22">
                  <c:v>171</c:v>
                </c:pt>
                <c:pt idx="23">
                  <c:v>195</c:v>
                </c:pt>
                <c:pt idx="24">
                  <c:v>429</c:v>
                </c:pt>
                <c:pt idx="25">
                  <c:v>1745</c:v>
                </c:pt>
                <c:pt idx="26">
                  <c:v>3560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1-304F-A9FE-6B9B75871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4018287"/>
        <c:axId val="1643736863"/>
      </c:lineChart>
      <c:catAx>
        <c:axId val="164401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36863"/>
        <c:crosses val="autoZero"/>
        <c:auto val="1"/>
        <c:lblAlgn val="ctr"/>
        <c:lblOffset val="100"/>
        <c:noMultiLvlLbl val="0"/>
      </c:catAx>
      <c:valAx>
        <c:axId val="16437368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401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</xdr:colOff>
      <xdr:row>79</xdr:row>
      <xdr:rowOff>20515</xdr:rowOff>
    </xdr:from>
    <xdr:to>
      <xdr:col>25</xdr:col>
      <xdr:colOff>0</xdr:colOff>
      <xdr:row>107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E655509-5131-F64C-83F5-FEE304E1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130</xdr:row>
      <xdr:rowOff>37102</xdr:rowOff>
    </xdr:from>
    <xdr:ext cx="32194499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88A86C8-D682-C048-A2C0-F9233A06B4DB}"/>
            </a:ext>
          </a:extLst>
        </xdr:cNvPr>
        <xdr:cNvSpPr txBox="1"/>
      </xdr:nvSpPr>
      <xdr:spPr>
        <a:xfrm>
          <a:off x="825500" y="29063658"/>
          <a:ext cx="32194499" cy="468013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400"/>
            <a:t>Epidemiologic</a:t>
          </a:r>
          <a:r>
            <a:rPr lang="en-US" sz="2400" baseline="0"/>
            <a:t> Week</a:t>
          </a:r>
          <a:endParaRPr lang="en-US" sz="2400"/>
        </a:p>
      </xdr:txBody>
    </xdr:sp>
    <xdr:clientData/>
  </xdr:oneCellAnchor>
  <xdr:twoCellAnchor>
    <xdr:from>
      <xdr:col>1</xdr:col>
      <xdr:colOff>11544</xdr:colOff>
      <xdr:row>108</xdr:row>
      <xdr:rowOff>103909</xdr:rowOff>
    </xdr:from>
    <xdr:to>
      <xdr:col>25</xdr:col>
      <xdr:colOff>0</xdr:colOff>
      <xdr:row>130</xdr:row>
      <xdr:rowOff>23091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FEBC3-D0B6-2C4D-9DD5-956A57AD1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D65A-4B3F-DF4C-A20E-3CF4CA6B764A}">
  <sheetPr>
    <pageSetUpPr fitToPage="1"/>
  </sheetPr>
  <dimension ref="A2:FY622"/>
  <sheetViews>
    <sheetView tabSelected="1" topLeftCell="A134" zoomScale="125" zoomScaleNormal="130" workbookViewId="0">
      <selection activeCell="F142" sqref="F142"/>
    </sheetView>
  </sheetViews>
  <sheetFormatPr baseColWidth="10" defaultRowHeight="14" x14ac:dyDescent="0.2"/>
  <cols>
    <col min="1" max="1" width="10.83203125" style="1"/>
    <col min="2" max="2" width="30.33203125" style="1" customWidth="1"/>
    <col min="3" max="23" width="17" style="1" customWidth="1"/>
    <col min="24" max="27" width="17.1640625" style="1" customWidth="1"/>
    <col min="28" max="31" width="17.33203125" style="1" customWidth="1"/>
    <col min="32" max="35" width="18" style="1" customWidth="1"/>
    <col min="36" max="36" width="17.83203125" style="1" customWidth="1"/>
    <col min="37" max="38" width="16.5" style="1" customWidth="1"/>
    <col min="39" max="42" width="16" style="1" customWidth="1"/>
    <col min="43" max="47" width="15.1640625" style="1" customWidth="1"/>
    <col min="48" max="54" width="15.33203125" style="1" customWidth="1"/>
    <col min="55" max="71" width="14.83203125" style="1" customWidth="1"/>
    <col min="72" max="72" width="14.83203125" style="7" customWidth="1"/>
    <col min="73" max="73" width="14.83203125" style="1" customWidth="1"/>
    <col min="74" max="74" width="14.83203125" style="7" customWidth="1"/>
    <col min="75" max="118" width="14.83203125" style="1" customWidth="1"/>
    <col min="119" max="127" width="14.83203125" style="5" customWidth="1"/>
    <col min="128" max="128" width="14.83203125" style="1" customWidth="1"/>
    <col min="129" max="129" width="14.83203125" style="6" customWidth="1"/>
    <col min="130" max="130" width="14.83203125" style="1" customWidth="1"/>
    <col min="131" max="131" width="14.83203125" style="6" customWidth="1"/>
    <col min="132" max="132" width="14.83203125" style="1" customWidth="1"/>
    <col min="133" max="133" width="14.83203125" style="6" customWidth="1"/>
    <col min="134" max="134" width="14.83203125" style="1" customWidth="1"/>
    <col min="135" max="135" width="14.83203125" style="6" customWidth="1"/>
    <col min="136" max="141" width="14.83203125" style="1" customWidth="1"/>
    <col min="142" max="143" width="11.83203125" style="1" bestFit="1" customWidth="1"/>
    <col min="144" max="147" width="11" style="1" bestFit="1" customWidth="1"/>
    <col min="148" max="161" width="11.5" style="1" bestFit="1" customWidth="1"/>
    <col min="162" max="16384" width="10.83203125" style="1"/>
  </cols>
  <sheetData>
    <row r="2" spans="2:181" ht="15" thickBo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  <c r="BR2" s="3"/>
      <c r="BS2" s="3"/>
      <c r="BT2" s="4"/>
      <c r="BU2" s="3"/>
      <c r="BV2" s="4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2:181" x14ac:dyDescent="0.2">
      <c r="B3" s="16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BT3" s="1"/>
      <c r="BV3" s="1"/>
      <c r="CN3" s="7"/>
      <c r="CP3" s="7"/>
      <c r="DO3" s="1"/>
      <c r="DP3" s="1"/>
      <c r="DQ3" s="1"/>
      <c r="DR3" s="1"/>
      <c r="DS3" s="1"/>
      <c r="DT3" s="1"/>
      <c r="DU3" s="1"/>
      <c r="DV3" s="1"/>
      <c r="DW3" s="1"/>
      <c r="DY3" s="1"/>
      <c r="EA3" s="1"/>
      <c r="EC3" s="79"/>
      <c r="ED3" s="79"/>
      <c r="EE3" s="79"/>
      <c r="EF3" s="79"/>
      <c r="EG3" s="79"/>
      <c r="EH3" s="79"/>
      <c r="EI3" s="159"/>
      <c r="EJ3" s="159"/>
      <c r="EK3" s="159"/>
      <c r="EL3" s="159"/>
      <c r="EM3" s="159"/>
      <c r="EN3" s="159"/>
      <c r="EO3" s="159"/>
      <c r="EP3" s="159"/>
      <c r="EQ3" s="159"/>
      <c r="ER3" s="79"/>
      <c r="ES3" s="160"/>
      <c r="ET3" s="79"/>
      <c r="EU3" s="160"/>
      <c r="EV3" s="79"/>
      <c r="EW3" s="160"/>
      <c r="EX3" s="79"/>
      <c r="EY3" s="160"/>
      <c r="EZ3" s="79"/>
      <c r="FA3" s="79"/>
      <c r="FB3" s="79"/>
      <c r="FC3" s="79"/>
      <c r="FD3" s="79"/>
      <c r="FE3" s="161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161"/>
    </row>
    <row r="4" spans="2:181" x14ac:dyDescent="0.2">
      <c r="B4" s="162" t="s">
        <v>0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BT4" s="1"/>
      <c r="BV4" s="1"/>
      <c r="CN4" s="7"/>
      <c r="CP4" s="7"/>
      <c r="DO4" s="1"/>
      <c r="DP4" s="1"/>
      <c r="DQ4" s="1"/>
      <c r="DR4" s="1"/>
      <c r="DS4" s="1"/>
      <c r="DT4" s="1"/>
      <c r="DU4" s="1"/>
      <c r="DV4" s="1"/>
      <c r="DW4" s="1"/>
      <c r="DY4" s="1"/>
      <c r="EA4" s="1"/>
      <c r="EC4" s="1"/>
      <c r="EE4" s="1"/>
      <c r="EI4" s="8"/>
      <c r="EJ4" s="8"/>
      <c r="EK4" s="8"/>
      <c r="EL4" s="8"/>
      <c r="EM4" s="8"/>
      <c r="EN4" s="8"/>
      <c r="EO4" s="8"/>
      <c r="EP4" s="8"/>
      <c r="EQ4" s="8"/>
      <c r="ER4" s="9"/>
      <c r="ES4" s="10"/>
      <c r="ET4" s="9"/>
      <c r="EU4" s="10"/>
      <c r="EV4" s="9"/>
      <c r="EW4" s="10"/>
      <c r="EX4" s="9"/>
      <c r="EY4" s="10"/>
      <c r="EZ4" s="9"/>
      <c r="FA4" s="9"/>
      <c r="FB4" s="9"/>
      <c r="FC4" s="9"/>
      <c r="FD4" s="9"/>
      <c r="FE4" s="11"/>
      <c r="FY4" s="11"/>
    </row>
    <row r="5" spans="2:181" ht="15" thickBot="1" x14ac:dyDescent="0.25">
      <c r="B5" s="12"/>
      <c r="C5" s="192">
        <v>44269</v>
      </c>
      <c r="D5" s="192">
        <v>44269</v>
      </c>
      <c r="E5" s="192">
        <v>44269</v>
      </c>
      <c r="F5" s="192">
        <v>44269</v>
      </c>
      <c r="G5" s="192">
        <v>44262</v>
      </c>
      <c r="H5" s="192">
        <v>44262</v>
      </c>
      <c r="I5" s="192">
        <v>44262</v>
      </c>
      <c r="J5" s="192">
        <v>44262</v>
      </c>
      <c r="K5" s="192">
        <v>44255</v>
      </c>
      <c r="L5" s="192">
        <v>44255</v>
      </c>
      <c r="M5" s="192">
        <v>44255</v>
      </c>
      <c r="N5" s="192">
        <v>44255</v>
      </c>
      <c r="O5" s="13">
        <v>44248</v>
      </c>
      <c r="P5" s="13">
        <v>44248</v>
      </c>
      <c r="Q5" s="13">
        <v>44248</v>
      </c>
      <c r="R5" s="13">
        <v>44248</v>
      </c>
      <c r="S5" s="13">
        <v>44241</v>
      </c>
      <c r="T5" s="13">
        <v>44241</v>
      </c>
      <c r="U5" s="13">
        <v>44241</v>
      </c>
      <c r="V5" s="13">
        <v>44241</v>
      </c>
      <c r="W5" s="13">
        <v>44234</v>
      </c>
      <c r="X5" s="13">
        <v>44234</v>
      </c>
      <c r="Y5" s="13">
        <v>44234</v>
      </c>
      <c r="Z5" s="13">
        <v>44234</v>
      </c>
      <c r="AA5" s="13">
        <v>44227</v>
      </c>
      <c r="AB5" s="13">
        <v>44227</v>
      </c>
      <c r="AC5" s="13">
        <v>44227</v>
      </c>
      <c r="AD5" s="13">
        <v>44227</v>
      </c>
      <c r="AE5" s="13">
        <v>44220</v>
      </c>
      <c r="AF5" s="13">
        <v>44220</v>
      </c>
      <c r="AG5" s="13">
        <v>44220</v>
      </c>
      <c r="AH5" s="13">
        <v>44220</v>
      </c>
      <c r="AI5" s="13">
        <v>44213</v>
      </c>
      <c r="AJ5" s="13">
        <v>44213</v>
      </c>
      <c r="AK5" s="13">
        <v>44213</v>
      </c>
      <c r="AL5" s="13">
        <v>44213</v>
      </c>
      <c r="AM5" s="13">
        <v>44206</v>
      </c>
      <c r="AN5" s="13">
        <v>44206</v>
      </c>
      <c r="AO5" s="13">
        <v>44206</v>
      </c>
      <c r="AP5" s="13">
        <v>44206</v>
      </c>
      <c r="AQ5" s="13">
        <v>44199</v>
      </c>
      <c r="AR5" s="13">
        <v>44199</v>
      </c>
      <c r="AS5" s="13">
        <v>44199</v>
      </c>
      <c r="AT5" s="13">
        <v>44199</v>
      </c>
      <c r="AU5" s="13">
        <v>44192</v>
      </c>
      <c r="AV5" s="13">
        <v>44192</v>
      </c>
      <c r="AW5" s="13">
        <v>44192</v>
      </c>
      <c r="AX5" s="13">
        <v>44192</v>
      </c>
      <c r="AY5" s="13">
        <v>44185</v>
      </c>
      <c r="AZ5" s="13">
        <v>44185</v>
      </c>
      <c r="BA5" s="13">
        <v>44185</v>
      </c>
      <c r="BB5" s="13">
        <v>44185</v>
      </c>
      <c r="BC5" s="13">
        <v>44178</v>
      </c>
      <c r="BD5" s="13">
        <v>44178</v>
      </c>
      <c r="BE5" s="13">
        <v>44178</v>
      </c>
      <c r="BF5" s="13">
        <v>44178</v>
      </c>
      <c r="BG5" s="13">
        <v>44171</v>
      </c>
      <c r="BH5" s="13">
        <v>44171</v>
      </c>
      <c r="BI5" s="13">
        <v>44171</v>
      </c>
      <c r="BJ5" s="13">
        <v>44171</v>
      </c>
      <c r="BK5" s="13">
        <v>44164</v>
      </c>
      <c r="BL5" s="13">
        <v>44164</v>
      </c>
      <c r="BM5" s="13">
        <v>44164</v>
      </c>
      <c r="BN5" s="13">
        <v>44164</v>
      </c>
      <c r="BO5" s="13">
        <v>44157</v>
      </c>
      <c r="BP5" s="13">
        <v>44157</v>
      </c>
      <c r="BQ5" s="13">
        <v>44157</v>
      </c>
      <c r="BR5" s="13">
        <v>44157</v>
      </c>
      <c r="BS5" s="13">
        <v>44150</v>
      </c>
      <c r="BT5" s="13">
        <v>44150</v>
      </c>
      <c r="BU5" s="13">
        <v>44150</v>
      </c>
      <c r="BV5" s="13">
        <v>44150</v>
      </c>
      <c r="BW5" s="13">
        <v>44143</v>
      </c>
      <c r="BX5" s="13">
        <v>44143</v>
      </c>
      <c r="BY5" s="13">
        <v>44143</v>
      </c>
      <c r="BZ5" s="13">
        <v>44143</v>
      </c>
      <c r="CA5" s="13">
        <v>44136</v>
      </c>
      <c r="CB5" s="13">
        <v>44136</v>
      </c>
      <c r="CC5" s="13">
        <v>44136</v>
      </c>
      <c r="CD5" s="13">
        <v>44136</v>
      </c>
      <c r="CE5" s="13">
        <v>44129</v>
      </c>
      <c r="CF5" s="13">
        <v>44129</v>
      </c>
      <c r="CG5" s="13">
        <v>44129</v>
      </c>
      <c r="CH5" s="13">
        <v>44129</v>
      </c>
      <c r="CI5" s="13">
        <v>44122</v>
      </c>
      <c r="CJ5" s="13">
        <v>44122</v>
      </c>
      <c r="CK5" s="13">
        <v>44122</v>
      </c>
      <c r="CL5" s="13">
        <v>44122</v>
      </c>
      <c r="CM5" s="13">
        <v>44115</v>
      </c>
      <c r="CN5" s="13">
        <v>44115</v>
      </c>
      <c r="CO5" s="13">
        <v>44115</v>
      </c>
      <c r="CP5" s="13">
        <v>44115</v>
      </c>
      <c r="CQ5" s="13">
        <v>44108</v>
      </c>
      <c r="CR5" s="13">
        <v>44108</v>
      </c>
      <c r="CS5" s="13">
        <v>44108</v>
      </c>
      <c r="CT5" s="13">
        <v>44108</v>
      </c>
      <c r="CU5" s="13" t="s">
        <v>41</v>
      </c>
      <c r="CV5" s="13" t="s">
        <v>41</v>
      </c>
      <c r="CW5" s="13" t="s">
        <v>41</v>
      </c>
      <c r="CX5" s="13" t="s">
        <v>41</v>
      </c>
      <c r="CY5" s="14" t="s">
        <v>40</v>
      </c>
      <c r="CZ5" s="14" t="s">
        <v>40</v>
      </c>
      <c r="DA5" s="14" t="s">
        <v>40</v>
      </c>
      <c r="DB5" s="14" t="s">
        <v>40</v>
      </c>
      <c r="DC5" s="14" t="s">
        <v>39</v>
      </c>
      <c r="DD5" s="1" t="s">
        <v>39</v>
      </c>
      <c r="DE5" s="1" t="s">
        <v>39</v>
      </c>
      <c r="DF5" s="1" t="s">
        <v>39</v>
      </c>
      <c r="DG5" s="1" t="s">
        <v>37</v>
      </c>
      <c r="DH5" s="7" t="s">
        <v>37</v>
      </c>
      <c r="DI5" s="1" t="s">
        <v>37</v>
      </c>
      <c r="DJ5" s="7" t="s">
        <v>37</v>
      </c>
      <c r="DK5" s="15"/>
      <c r="DL5" s="16">
        <v>44073</v>
      </c>
      <c r="DM5" s="16">
        <v>44073</v>
      </c>
      <c r="DN5" s="16">
        <v>44073</v>
      </c>
      <c r="DO5" s="16">
        <v>44073</v>
      </c>
      <c r="DP5" s="16">
        <v>44066</v>
      </c>
      <c r="DQ5" s="16">
        <v>44066</v>
      </c>
      <c r="DR5" s="16">
        <v>44066</v>
      </c>
      <c r="DS5" s="16">
        <v>44066</v>
      </c>
      <c r="DT5" s="16">
        <v>44059</v>
      </c>
      <c r="DU5" s="16">
        <v>44059</v>
      </c>
      <c r="DV5" s="16">
        <v>44059</v>
      </c>
      <c r="DW5" s="16">
        <v>44059</v>
      </c>
      <c r="DX5" s="16">
        <v>44052</v>
      </c>
      <c r="DY5" s="16">
        <v>44052</v>
      </c>
      <c r="DZ5" s="16">
        <v>44052</v>
      </c>
      <c r="EA5" s="16">
        <v>44052</v>
      </c>
      <c r="EB5" s="16">
        <v>44045</v>
      </c>
      <c r="EC5" s="16">
        <v>44045</v>
      </c>
      <c r="ED5" s="16">
        <v>44045</v>
      </c>
      <c r="EE5" s="16">
        <v>44045</v>
      </c>
      <c r="EF5" s="16">
        <v>44038</v>
      </c>
      <c r="EG5" s="16">
        <v>44038</v>
      </c>
      <c r="EH5" s="16">
        <v>44038</v>
      </c>
      <c r="EI5" s="16">
        <v>44038</v>
      </c>
      <c r="EJ5" s="15">
        <v>44031</v>
      </c>
      <c r="EK5" s="15">
        <v>44031</v>
      </c>
      <c r="EL5" s="15">
        <v>44031</v>
      </c>
      <c r="EM5" s="15">
        <v>44031</v>
      </c>
      <c r="EN5" s="15">
        <v>44024</v>
      </c>
      <c r="EO5" s="15">
        <v>44024</v>
      </c>
      <c r="EP5" s="15">
        <v>44024</v>
      </c>
      <c r="EQ5" s="15">
        <v>44024</v>
      </c>
      <c r="ER5" s="15">
        <v>44017</v>
      </c>
      <c r="ES5" s="15">
        <v>44017</v>
      </c>
      <c r="ET5" s="15">
        <v>44017</v>
      </c>
      <c r="EU5" s="15">
        <v>44017</v>
      </c>
      <c r="EV5" s="15">
        <v>44010</v>
      </c>
      <c r="EW5" s="15">
        <v>44010</v>
      </c>
      <c r="EX5" s="15">
        <v>44010</v>
      </c>
      <c r="EY5" s="15">
        <v>44010</v>
      </c>
      <c r="EZ5" s="15">
        <v>44002</v>
      </c>
      <c r="FA5" s="15">
        <v>44002</v>
      </c>
      <c r="FB5" s="15">
        <v>44002</v>
      </c>
      <c r="FC5" s="15">
        <v>44002</v>
      </c>
      <c r="FD5" s="15">
        <v>43995</v>
      </c>
      <c r="FE5" s="15">
        <v>43995</v>
      </c>
      <c r="FF5" s="15">
        <v>43995</v>
      </c>
      <c r="FG5" s="15">
        <v>43995</v>
      </c>
      <c r="FH5" s="15">
        <v>43988</v>
      </c>
      <c r="FI5" s="15">
        <v>43988</v>
      </c>
      <c r="FJ5" s="15">
        <v>43988</v>
      </c>
      <c r="FK5" s="15">
        <v>43988</v>
      </c>
      <c r="FL5" s="16">
        <v>43982</v>
      </c>
      <c r="FM5" s="16">
        <v>43982</v>
      </c>
      <c r="FN5" s="16">
        <v>43982</v>
      </c>
      <c r="FO5" s="16">
        <v>43982</v>
      </c>
      <c r="FP5" s="16">
        <v>43975</v>
      </c>
      <c r="FQ5" s="16">
        <v>43975</v>
      </c>
      <c r="FR5" s="16">
        <v>43975</v>
      </c>
      <c r="FS5" s="16">
        <v>43975</v>
      </c>
      <c r="FT5" s="16">
        <v>43968</v>
      </c>
      <c r="FU5" s="16">
        <v>43968</v>
      </c>
      <c r="FV5" s="16">
        <v>43968</v>
      </c>
      <c r="FW5" s="16">
        <v>43968</v>
      </c>
      <c r="FX5" s="16">
        <v>43961</v>
      </c>
      <c r="FY5" s="17">
        <v>43961</v>
      </c>
    </row>
    <row r="6" spans="2:181" s="23" customFormat="1" x14ac:dyDescent="0.2">
      <c r="B6" s="18" t="s">
        <v>30</v>
      </c>
      <c r="C6" s="19"/>
      <c r="D6" s="19"/>
      <c r="E6" s="19"/>
      <c r="F6" s="19"/>
      <c r="G6" s="19" t="s">
        <v>27</v>
      </c>
      <c r="H6" s="20" t="s">
        <v>23</v>
      </c>
      <c r="I6" s="19" t="s">
        <v>22</v>
      </c>
      <c r="J6" s="20" t="s">
        <v>23</v>
      </c>
      <c r="K6" s="19" t="s">
        <v>27</v>
      </c>
      <c r="L6" s="20" t="s">
        <v>23</v>
      </c>
      <c r="M6" s="19" t="s">
        <v>22</v>
      </c>
      <c r="N6" s="20" t="s">
        <v>23</v>
      </c>
      <c r="O6" s="19" t="s">
        <v>27</v>
      </c>
      <c r="P6" s="20" t="s">
        <v>23</v>
      </c>
      <c r="Q6" s="19" t="s">
        <v>22</v>
      </c>
      <c r="R6" s="20" t="s">
        <v>23</v>
      </c>
      <c r="S6" s="19" t="s">
        <v>27</v>
      </c>
      <c r="T6" s="20" t="s">
        <v>23</v>
      </c>
      <c r="U6" s="19" t="s">
        <v>22</v>
      </c>
      <c r="V6" s="20" t="s">
        <v>23</v>
      </c>
      <c r="W6" s="19" t="s">
        <v>27</v>
      </c>
      <c r="X6" s="20" t="s">
        <v>23</v>
      </c>
      <c r="Y6" s="19" t="s">
        <v>22</v>
      </c>
      <c r="Z6" s="20" t="s">
        <v>23</v>
      </c>
      <c r="AA6" s="19" t="s">
        <v>27</v>
      </c>
      <c r="AB6" s="20" t="s">
        <v>23</v>
      </c>
      <c r="AC6" s="19" t="s">
        <v>22</v>
      </c>
      <c r="AD6" s="20" t="s">
        <v>23</v>
      </c>
      <c r="AE6" s="19" t="s">
        <v>27</v>
      </c>
      <c r="AF6" s="20" t="s">
        <v>23</v>
      </c>
      <c r="AG6" s="19" t="s">
        <v>22</v>
      </c>
      <c r="AH6" s="20" t="s">
        <v>23</v>
      </c>
      <c r="AI6" s="19" t="s">
        <v>27</v>
      </c>
      <c r="AJ6" s="20" t="s">
        <v>23</v>
      </c>
      <c r="AK6" s="19" t="s">
        <v>22</v>
      </c>
      <c r="AL6" s="20" t="s">
        <v>23</v>
      </c>
      <c r="AM6" s="19" t="s">
        <v>27</v>
      </c>
      <c r="AN6" s="20" t="s">
        <v>23</v>
      </c>
      <c r="AO6" s="19" t="s">
        <v>22</v>
      </c>
      <c r="AP6" s="20" t="s">
        <v>23</v>
      </c>
      <c r="AQ6" s="19" t="s">
        <v>27</v>
      </c>
      <c r="AR6" s="20" t="s">
        <v>23</v>
      </c>
      <c r="AS6" s="19" t="s">
        <v>22</v>
      </c>
      <c r="AT6" s="20" t="s">
        <v>23</v>
      </c>
      <c r="AU6" s="19" t="s">
        <v>27</v>
      </c>
      <c r="AV6" s="20" t="s">
        <v>23</v>
      </c>
      <c r="AW6" s="19" t="s">
        <v>22</v>
      </c>
      <c r="AX6" s="20" t="s">
        <v>23</v>
      </c>
      <c r="AY6" s="19" t="s">
        <v>27</v>
      </c>
      <c r="AZ6" s="20" t="s">
        <v>23</v>
      </c>
      <c r="BA6" s="19" t="s">
        <v>22</v>
      </c>
      <c r="BB6" s="20" t="s">
        <v>23</v>
      </c>
      <c r="BC6" s="19" t="s">
        <v>27</v>
      </c>
      <c r="BD6" s="20" t="s">
        <v>23</v>
      </c>
      <c r="BE6" s="19" t="s">
        <v>22</v>
      </c>
      <c r="BF6" s="20" t="s">
        <v>23</v>
      </c>
      <c r="BG6" s="19" t="s">
        <v>27</v>
      </c>
      <c r="BH6" s="20" t="s">
        <v>23</v>
      </c>
      <c r="BI6" s="19" t="s">
        <v>22</v>
      </c>
      <c r="BJ6" s="20" t="s">
        <v>23</v>
      </c>
      <c r="BK6" s="19" t="s">
        <v>27</v>
      </c>
      <c r="BL6" s="20" t="s">
        <v>23</v>
      </c>
      <c r="BM6" s="19" t="s">
        <v>22</v>
      </c>
      <c r="BN6" s="20" t="s">
        <v>23</v>
      </c>
      <c r="BO6" s="19" t="s">
        <v>27</v>
      </c>
      <c r="BP6" s="20" t="s">
        <v>23</v>
      </c>
      <c r="BQ6" s="19" t="s">
        <v>22</v>
      </c>
      <c r="BR6" s="20" t="s">
        <v>23</v>
      </c>
      <c r="BS6" s="19" t="s">
        <v>27</v>
      </c>
      <c r="BT6" s="20" t="s">
        <v>23</v>
      </c>
      <c r="BU6" s="19" t="s">
        <v>22</v>
      </c>
      <c r="BV6" s="20" t="s">
        <v>23</v>
      </c>
      <c r="BW6" s="19" t="s">
        <v>27</v>
      </c>
      <c r="BX6" s="20" t="s">
        <v>23</v>
      </c>
      <c r="BY6" s="19" t="s">
        <v>22</v>
      </c>
      <c r="BZ6" s="20" t="s">
        <v>23</v>
      </c>
      <c r="CA6" s="19" t="s">
        <v>27</v>
      </c>
      <c r="CB6" s="20" t="s">
        <v>23</v>
      </c>
      <c r="CC6" s="19" t="s">
        <v>22</v>
      </c>
      <c r="CD6" s="20" t="s">
        <v>23</v>
      </c>
      <c r="CE6" s="19" t="s">
        <v>27</v>
      </c>
      <c r="CF6" s="20" t="s">
        <v>23</v>
      </c>
      <c r="CG6" s="19" t="s">
        <v>22</v>
      </c>
      <c r="CH6" s="20" t="s">
        <v>23</v>
      </c>
      <c r="CI6" s="19" t="s">
        <v>27</v>
      </c>
      <c r="CJ6" s="20" t="s">
        <v>23</v>
      </c>
      <c r="CK6" s="19" t="s">
        <v>22</v>
      </c>
      <c r="CL6" s="20" t="s">
        <v>23</v>
      </c>
      <c r="CM6" s="19" t="s">
        <v>27</v>
      </c>
      <c r="CN6" s="20" t="s">
        <v>23</v>
      </c>
      <c r="CO6" s="19" t="s">
        <v>22</v>
      </c>
      <c r="CP6" s="20" t="s">
        <v>23</v>
      </c>
      <c r="CQ6" s="19" t="s">
        <v>27</v>
      </c>
      <c r="CR6" s="20" t="s">
        <v>23</v>
      </c>
      <c r="CS6" s="19" t="s">
        <v>22</v>
      </c>
      <c r="CT6" s="20" t="s">
        <v>23</v>
      </c>
      <c r="CU6" s="19" t="s">
        <v>27</v>
      </c>
      <c r="CV6" s="20" t="s">
        <v>23</v>
      </c>
      <c r="CW6" s="19" t="s">
        <v>22</v>
      </c>
      <c r="CX6" s="20" t="s">
        <v>23</v>
      </c>
      <c r="CY6" s="19" t="s">
        <v>27</v>
      </c>
      <c r="CZ6" s="20" t="s">
        <v>23</v>
      </c>
      <c r="DA6" s="19" t="s">
        <v>22</v>
      </c>
      <c r="DB6" s="20" t="s">
        <v>23</v>
      </c>
      <c r="DC6" s="19" t="s">
        <v>27</v>
      </c>
      <c r="DD6" s="20" t="s">
        <v>23</v>
      </c>
      <c r="DE6" s="19" t="s">
        <v>22</v>
      </c>
      <c r="DF6" s="20" t="s">
        <v>23</v>
      </c>
      <c r="DG6" s="19" t="s">
        <v>27</v>
      </c>
      <c r="DH6" s="20" t="s">
        <v>23</v>
      </c>
      <c r="DI6" s="19" t="s">
        <v>22</v>
      </c>
      <c r="DJ6" s="20" t="s">
        <v>23</v>
      </c>
      <c r="DK6" s="21"/>
      <c r="DL6" s="19" t="s">
        <v>27</v>
      </c>
      <c r="DM6" s="20" t="s">
        <v>23</v>
      </c>
      <c r="DN6" s="19" t="s">
        <v>22</v>
      </c>
      <c r="DO6" s="20" t="s">
        <v>23</v>
      </c>
      <c r="DP6" s="19" t="s">
        <v>27</v>
      </c>
      <c r="DQ6" s="20" t="s">
        <v>23</v>
      </c>
      <c r="DR6" s="19" t="s">
        <v>22</v>
      </c>
      <c r="DS6" s="20" t="s">
        <v>23</v>
      </c>
      <c r="DT6" s="19" t="s">
        <v>27</v>
      </c>
      <c r="DU6" s="20" t="s">
        <v>23</v>
      </c>
      <c r="DV6" s="19" t="s">
        <v>22</v>
      </c>
      <c r="DW6" s="20" t="s">
        <v>23</v>
      </c>
      <c r="DX6" s="19" t="s">
        <v>27</v>
      </c>
      <c r="DY6" s="20" t="s">
        <v>23</v>
      </c>
      <c r="DZ6" s="19" t="s">
        <v>22</v>
      </c>
      <c r="EA6" s="20" t="s">
        <v>23</v>
      </c>
      <c r="EB6" s="19" t="s">
        <v>27</v>
      </c>
      <c r="EC6" s="20" t="s">
        <v>23</v>
      </c>
      <c r="ED6" s="19" t="s">
        <v>22</v>
      </c>
      <c r="EE6" s="20" t="s">
        <v>23</v>
      </c>
      <c r="EF6" s="19" t="s">
        <v>27</v>
      </c>
      <c r="EG6" s="20" t="s">
        <v>23</v>
      </c>
      <c r="EH6" s="19" t="s">
        <v>22</v>
      </c>
      <c r="EI6" s="20" t="s">
        <v>23</v>
      </c>
      <c r="EJ6" s="19" t="s">
        <v>27</v>
      </c>
      <c r="EK6" s="20" t="s">
        <v>23</v>
      </c>
      <c r="EL6" s="19" t="s">
        <v>22</v>
      </c>
      <c r="EM6" s="20" t="s">
        <v>23</v>
      </c>
      <c r="EN6" s="19" t="s">
        <v>27</v>
      </c>
      <c r="EO6" s="20" t="s">
        <v>23</v>
      </c>
      <c r="EP6" s="19" t="s">
        <v>22</v>
      </c>
      <c r="EQ6" s="20" t="s">
        <v>23</v>
      </c>
      <c r="ER6" s="19" t="s">
        <v>27</v>
      </c>
      <c r="ES6" s="20" t="s">
        <v>23</v>
      </c>
      <c r="ET6" s="19" t="s">
        <v>22</v>
      </c>
      <c r="EU6" s="20" t="s">
        <v>23</v>
      </c>
      <c r="EV6" s="19" t="s">
        <v>27</v>
      </c>
      <c r="EW6" s="20" t="s">
        <v>23</v>
      </c>
      <c r="EX6" s="19" t="s">
        <v>22</v>
      </c>
      <c r="EY6" s="20" t="s">
        <v>23</v>
      </c>
      <c r="EZ6" s="19" t="s">
        <v>27</v>
      </c>
      <c r="FA6" s="20" t="s">
        <v>23</v>
      </c>
      <c r="FB6" s="19" t="s">
        <v>22</v>
      </c>
      <c r="FC6" s="20" t="s">
        <v>23</v>
      </c>
      <c r="FD6" s="19" t="s">
        <v>27</v>
      </c>
      <c r="FE6" s="20" t="s">
        <v>23</v>
      </c>
      <c r="FF6" s="19" t="s">
        <v>22</v>
      </c>
      <c r="FG6" s="20" t="s">
        <v>23</v>
      </c>
      <c r="FH6" s="19" t="s">
        <v>27</v>
      </c>
      <c r="FI6" s="20" t="s">
        <v>23</v>
      </c>
      <c r="FJ6" s="19" t="s">
        <v>22</v>
      </c>
      <c r="FK6" s="20" t="s">
        <v>23</v>
      </c>
      <c r="FL6" s="19" t="s">
        <v>27</v>
      </c>
      <c r="FM6" s="20" t="s">
        <v>23</v>
      </c>
      <c r="FN6" s="19" t="s">
        <v>22</v>
      </c>
      <c r="FO6" s="20" t="s">
        <v>23</v>
      </c>
      <c r="FP6" s="19" t="s">
        <v>27</v>
      </c>
      <c r="FQ6" s="20" t="s">
        <v>23</v>
      </c>
      <c r="FR6" s="19" t="s">
        <v>22</v>
      </c>
      <c r="FS6" s="20" t="s">
        <v>23</v>
      </c>
      <c r="FT6" s="19" t="s">
        <v>27</v>
      </c>
      <c r="FU6" s="20" t="s">
        <v>23</v>
      </c>
      <c r="FV6" s="19" t="s">
        <v>22</v>
      </c>
      <c r="FW6" s="20" t="s">
        <v>23</v>
      </c>
      <c r="FX6" s="19" t="s">
        <v>27</v>
      </c>
      <c r="FY6" s="22" t="s">
        <v>22</v>
      </c>
    </row>
    <row r="7" spans="2:181" x14ac:dyDescent="0.2">
      <c r="B7" s="24" t="s">
        <v>1</v>
      </c>
      <c r="C7" s="25">
        <v>18122</v>
      </c>
      <c r="D7" s="26">
        <f t="shared" ref="D7:D30" si="0">SUM(C7/G7)-100%</f>
        <v>1.8891262790959207E-2</v>
      </c>
      <c r="E7" s="25">
        <v>349</v>
      </c>
      <c r="F7" s="26">
        <f t="shared" ref="F7:F31" si="1">SUM(E7/I7)-100%</f>
        <v>1.4534883720930258E-2</v>
      </c>
      <c r="G7" s="25">
        <v>17786</v>
      </c>
      <c r="H7" s="29">
        <f t="shared" ref="H7:H30" si="2">SUM(G7/K7)-100%</f>
        <v>2.4126216387401422E-2</v>
      </c>
      <c r="I7" s="25">
        <f>344</f>
        <v>344</v>
      </c>
      <c r="J7" s="194">
        <f t="shared" ref="J7:J31" si="3">SUM(I7/M7)-100%</f>
        <v>3.92749244712991E-2</v>
      </c>
      <c r="K7" s="25">
        <v>17367</v>
      </c>
      <c r="L7" s="27">
        <f t="shared" ref="L7:L30" si="4">SUM(K7/O7)-100%</f>
        <v>1.7697040726633473E-2</v>
      </c>
      <c r="M7" s="25">
        <v>331</v>
      </c>
      <c r="N7" s="29">
        <f t="shared" ref="N7:N31" si="5">SUM(M7/Q7)-100%</f>
        <v>1.8461538461538529E-2</v>
      </c>
      <c r="O7" s="25">
        <v>17065</v>
      </c>
      <c r="P7" s="26">
        <f t="shared" ref="P7:P30" si="6">SUM(O7/S7)-100%</f>
        <v>2.0572932240894737E-2</v>
      </c>
      <c r="Q7" s="25">
        <v>325</v>
      </c>
      <c r="R7" s="26">
        <f t="shared" ref="R7:R31" si="7">SUM(Q7/U7)-100%</f>
        <v>9.3167701863354768E-3</v>
      </c>
      <c r="S7" s="25">
        <v>16721</v>
      </c>
      <c r="T7" s="29">
        <f>SUM(S7/W7)-100%</f>
        <v>2.3630241812059971E-2</v>
      </c>
      <c r="U7" s="25">
        <v>322</v>
      </c>
      <c r="V7" s="29">
        <f t="shared" ref="V7:V31" si="8">SUM(U7/Y7)-100%</f>
        <v>6.2706270627062688E-2</v>
      </c>
      <c r="W7" s="25">
        <v>16335</v>
      </c>
      <c r="X7" s="26">
        <f>SUM(W7/AA7)-100%</f>
        <v>2.1065133141642711E-2</v>
      </c>
      <c r="Y7" s="25">
        <v>303</v>
      </c>
      <c r="Z7" s="27">
        <f t="shared" ref="Z7:Z31" si="9">SUM(Y7/AC7)-100%</f>
        <v>4.844290657439454E-2</v>
      </c>
      <c r="AA7" s="25">
        <v>15998</v>
      </c>
      <c r="AB7" s="28">
        <f>SUM(AA7/AE7)-100%</f>
        <v>4.3098389515550561E-2</v>
      </c>
      <c r="AC7" s="25">
        <v>289</v>
      </c>
      <c r="AD7" s="26">
        <f t="shared" ref="AD7:AD31" si="10">SUM(AC7/AG7)-100%</f>
        <v>7.4349442379182173E-2</v>
      </c>
      <c r="AE7" s="25">
        <v>15337</v>
      </c>
      <c r="AF7" s="28">
        <f>SUM(AE7/AI7)-100%</f>
        <v>4.0713849494469656E-2</v>
      </c>
      <c r="AG7" s="25">
        <v>269</v>
      </c>
      <c r="AH7" s="29">
        <f t="shared" ref="AH7:AH31" si="11">SUM(AG7/AK7)-100%</f>
        <v>8.4677419354838745E-2</v>
      </c>
      <c r="AI7" s="25">
        <v>14737</v>
      </c>
      <c r="AJ7" s="28">
        <f>SUM(AI7/AM7)-100%</f>
        <v>4.0454673820954579E-2</v>
      </c>
      <c r="AK7" s="25">
        <v>248</v>
      </c>
      <c r="AL7" s="26">
        <f t="shared" ref="AL7:AL31" si="12">SUM(AK7/AO7)-100%</f>
        <v>8.1300813008129413E-3</v>
      </c>
      <c r="AM7" s="7">
        <v>14164</v>
      </c>
      <c r="AN7" s="28">
        <f>SUM(AM7/AQ7)-100%</f>
        <v>2.8687631636284516E-2</v>
      </c>
      <c r="AO7" s="1">
        <v>246</v>
      </c>
      <c r="AP7" s="29">
        <f t="shared" ref="AP7:AP31" si="13">SUM(AO7/AS7)-100%</f>
        <v>1.6528925619834656E-2</v>
      </c>
      <c r="AQ7" s="1">
        <v>13769</v>
      </c>
      <c r="AR7" s="29">
        <f t="shared" ref="AR7:AR34" si="14">SUM(AQ7/AU7)-100%</f>
        <v>2.8227914270778864E-2</v>
      </c>
      <c r="AS7" s="1">
        <v>242</v>
      </c>
      <c r="AT7" s="26">
        <f t="shared" ref="AT7:AT31" si="15">SUM(AS7/AW7)-100%</f>
        <v>0</v>
      </c>
      <c r="AU7" s="1">
        <v>13391</v>
      </c>
      <c r="AV7" s="27">
        <f t="shared" ref="AV7:AV34" si="16">SUM(AU7/AY7)-100%</f>
        <v>2.1745765298336606E-2</v>
      </c>
      <c r="AW7" s="1">
        <v>242</v>
      </c>
      <c r="AX7" s="29">
        <f t="shared" ref="AX7:AX31" si="17">SUM(AW7/BA7)-100%</f>
        <v>8.3333333333333037E-3</v>
      </c>
      <c r="AY7" s="1">
        <v>13106</v>
      </c>
      <c r="AZ7" s="27">
        <f t="shared" ref="AZ7:AZ34" si="18">SUM(AY7/BC7)-100%</f>
        <v>3.5638087712366762E-2</v>
      </c>
      <c r="BA7" s="1">
        <v>240</v>
      </c>
      <c r="BB7" s="27">
        <f t="shared" ref="BB7:BB31" si="19">SUM(BA7/BE7)-100%</f>
        <v>4.1841004184099972E-3</v>
      </c>
      <c r="BC7" s="1">
        <v>12655</v>
      </c>
      <c r="BD7" s="30">
        <f t="shared" ref="BD7:BD31" si="20">SUM(AY7/BG7)-100%</f>
        <v>6.8046613967891689E-2</v>
      </c>
      <c r="BE7" s="1">
        <v>239</v>
      </c>
      <c r="BF7" s="31">
        <f t="shared" ref="BF7:BF31" si="21">SUM(BE7/BI7)-100%</f>
        <v>1.7021276595744705E-2</v>
      </c>
      <c r="BG7" s="1">
        <v>12271</v>
      </c>
      <c r="BH7" s="31">
        <f t="shared" ref="BH7:BH34" si="22">SUM(BG7/BK7)-100%</f>
        <v>3.6139491682850577E-2</v>
      </c>
      <c r="BI7" s="1">
        <v>235</v>
      </c>
      <c r="BJ7" s="32">
        <f t="shared" ref="BJ7:BJ31" si="23">SUM(BI7/BM7)-100%</f>
        <v>4.4444444444444509E-2</v>
      </c>
      <c r="BK7" s="1">
        <v>11843</v>
      </c>
      <c r="BL7" s="32">
        <f t="shared" ref="BL7:BL34" si="24">SUM(BK7/BO7)-100%</f>
        <v>4.0411139418430997E-2</v>
      </c>
      <c r="BM7" s="1">
        <v>225</v>
      </c>
      <c r="BN7" s="33">
        <f t="shared" ref="BN7:BN31" si="25">SUM(BM7/BQ7)-100%</f>
        <v>3.6866359447004671E-2</v>
      </c>
      <c r="BO7" s="1">
        <v>11383</v>
      </c>
      <c r="BP7" s="33">
        <f t="shared" ref="BP7:BP34" si="26">SUM(BO7/BS7)-100%</f>
        <v>2.5680302757253637E-2</v>
      </c>
      <c r="BQ7" s="1">
        <v>217</v>
      </c>
      <c r="BR7" s="30">
        <f t="shared" ref="BR7:BR31" si="27">SUM(BQ7/BU7)-100%</f>
        <v>1.4018691588784993E-2</v>
      </c>
      <c r="BS7" s="1">
        <v>11098</v>
      </c>
      <c r="BT7" s="30">
        <f t="shared" ref="BT7:BT34" si="28">SUM(BS7/BW7)-100%</f>
        <v>1.975558210052375E-2</v>
      </c>
      <c r="BU7" s="1">
        <v>214</v>
      </c>
      <c r="BV7" s="31">
        <f t="shared" ref="BV7:BV31" si="29">SUM(BU7/BY7)-100%</f>
        <v>1.4218009478673022E-2</v>
      </c>
      <c r="BW7" s="1">
        <v>10883</v>
      </c>
      <c r="BX7" s="30">
        <f t="shared" ref="BX7:BX34" si="30">SUM(BW7/CA7)-100%</f>
        <v>2.1110902608369342E-2</v>
      </c>
      <c r="BY7" s="1">
        <f>199+12</f>
        <v>211</v>
      </c>
      <c r="BZ7" s="33">
        <f t="shared" ref="BZ7:BZ31" si="31">SUM(BY7/CC7)-100%</f>
        <v>1.9323671497584627E-2</v>
      </c>
      <c r="CA7" s="1">
        <v>10658</v>
      </c>
      <c r="CB7" s="30">
        <f t="shared" ref="CB7:CB34" si="32">SUM(CA7/CE7)-100%</f>
        <v>2.4610651797731142E-2</v>
      </c>
      <c r="CC7" s="1">
        <v>207</v>
      </c>
      <c r="CD7" s="31">
        <f t="shared" ref="CD7:CD31" si="33">SUM(CC7/CG7)-100%</f>
        <v>6.1538461538461542E-2</v>
      </c>
      <c r="CE7" s="1">
        <v>10402</v>
      </c>
      <c r="CF7" s="31">
        <f t="shared" ref="CF7:CF34" si="34">SUM(CE7/CI7)-100%</f>
        <v>4.0512153646093729E-2</v>
      </c>
      <c r="CG7" s="1">
        <v>195</v>
      </c>
      <c r="CH7" s="33">
        <f t="shared" ref="CH7:CH31" si="35">SUM(CG7/CK7)-100%</f>
        <v>7.7348066298342566E-2</v>
      </c>
      <c r="CI7" s="1">
        <v>9997</v>
      </c>
      <c r="CJ7" s="33">
        <f t="shared" ref="CJ7:CJ34" si="36">SUM(CI7/CM7)-100%</f>
        <v>4.4073107049608318E-2</v>
      </c>
      <c r="CK7" s="1">
        <v>181</v>
      </c>
      <c r="CL7" s="31">
        <f t="shared" ref="CL7:CL31" si="37">SUM(CK7/CO7)-100%</f>
        <v>4.022988505747116E-2</v>
      </c>
      <c r="CM7" s="1">
        <v>9575</v>
      </c>
      <c r="CN7" s="30">
        <f t="shared" ref="CN7:CN34" si="38">SUM(CM7/CQ7)-100%</f>
        <v>3.1122119319405561E-2</v>
      </c>
      <c r="CO7" s="1">
        <v>174</v>
      </c>
      <c r="CP7" s="31">
        <f t="shared" ref="CP7:CP31" si="39">SUM(CO7/CS7)-100%</f>
        <v>4.1916167664670656E-2</v>
      </c>
      <c r="CQ7" s="1">
        <v>9286</v>
      </c>
      <c r="CR7" s="30">
        <f t="shared" ref="CR7:CR34" si="40">SUM(CQ7/CU7)-100%</f>
        <v>5.3431650595575642E-2</v>
      </c>
      <c r="CS7" s="1">
        <v>167</v>
      </c>
      <c r="CT7" s="33">
        <f t="shared" ref="CT7:CT31" si="41">SUM(CS7/CW7)-100%</f>
        <v>5.031446540880502E-2</v>
      </c>
      <c r="CU7" s="1">
        <v>8815</v>
      </c>
      <c r="CV7" s="31">
        <f t="shared" ref="CV7:CV34" si="42">SUM(CU7/CY7)-100%</f>
        <v>9.0155824882512947E-2</v>
      </c>
      <c r="CW7" s="1">
        <v>159</v>
      </c>
      <c r="CX7" s="30">
        <f>SUM(CW7/DA7)-100%</f>
        <v>3.2467532467532534E-2</v>
      </c>
      <c r="CY7" s="1">
        <v>8086</v>
      </c>
      <c r="CZ7" s="33">
        <f t="shared" ref="CZ7:CZ34" si="43">SUM(CY7/DC7)-100%</f>
        <v>0.13567415730337085</v>
      </c>
      <c r="DA7" s="1">
        <v>154</v>
      </c>
      <c r="DB7" s="30">
        <f>SUM(DA7/DE7)-100%</f>
        <v>5.4794520547945202E-2</v>
      </c>
      <c r="DC7" s="1">
        <v>7120</v>
      </c>
      <c r="DD7" s="31">
        <f t="shared" ref="DD7:DD34" si="44">SUM(DC7/DG7)-100%</f>
        <v>0.10336277700294438</v>
      </c>
      <c r="DE7" s="1">
        <v>146</v>
      </c>
      <c r="DF7" s="30">
        <f>SUM(DE7/DI7)-100%</f>
        <v>9.7744360902255689E-2</v>
      </c>
      <c r="DG7" s="1">
        <v>6453</v>
      </c>
      <c r="DH7" s="32">
        <f t="shared" ref="DH7:DH34" si="45">SUM(DG7/DL7)-100%</f>
        <v>0.18316831683168311</v>
      </c>
      <c r="DI7" s="1">
        <v>133</v>
      </c>
      <c r="DJ7" s="31">
        <f>SUM(DI7/DN7)-100%</f>
        <v>0.13675213675213671</v>
      </c>
      <c r="DK7" s="34"/>
      <c r="DL7" s="1">
        <v>5454</v>
      </c>
      <c r="DM7" s="32">
        <f t="shared" ref="DM7:DM36" si="46">SUM(DL7/DP7)-100%</f>
        <v>0.14172074523759681</v>
      </c>
      <c r="DN7" s="1">
        <v>117</v>
      </c>
      <c r="DO7" s="32">
        <f t="shared" ref="DO7:DO30" si="47">SUM(DN7/DR7)-100%</f>
        <v>0.14705882352941169</v>
      </c>
      <c r="DP7" s="1">
        <v>4777</v>
      </c>
      <c r="DQ7" s="33">
        <f t="shared" ref="DQ7:DQ36" si="48">SUM(DP7/DT7)-100%</f>
        <v>9.9171652093879459E-2</v>
      </c>
      <c r="DR7" s="1">
        <v>102</v>
      </c>
      <c r="DS7" s="33">
        <f t="shared" ref="DS7:DS30" si="49">SUM(DR7/DV7)-100%</f>
        <v>7.3684210526315796E-2</v>
      </c>
      <c r="DT7" s="1">
        <v>4346</v>
      </c>
      <c r="DU7" s="31">
        <f t="shared" ref="DU7:DU36" si="50">SUM(DT7/DX7)-100%</f>
        <v>8.4331337325349365E-2</v>
      </c>
      <c r="DV7" s="9">
        <v>95</v>
      </c>
      <c r="DW7" s="31">
        <f t="shared" ref="DW7:DW30" si="51">SUM(DV7/DZ7)-100%</f>
        <v>2.1505376344086002E-2</v>
      </c>
      <c r="DX7" s="1">
        <v>4008</v>
      </c>
      <c r="DY7" s="32">
        <f t="shared" ref="DY7:DY36" si="52">SUM(DX7/EB7)-100%</f>
        <v>0.15537618910348794</v>
      </c>
      <c r="DZ7" s="1">
        <v>93</v>
      </c>
      <c r="EA7" s="33">
        <f t="shared" ref="EA7:EA30" si="53">SUM(DZ7/ED7)-100%</f>
        <v>0.29166666666666674</v>
      </c>
      <c r="EB7" s="1">
        <v>3469</v>
      </c>
      <c r="EC7" s="33">
        <f t="shared" ref="EC7:EC36" si="54">SUM(EB7/EF7)-100%</f>
        <v>0.15134417524062393</v>
      </c>
      <c r="ED7" s="1">
        <v>72</v>
      </c>
      <c r="EE7" s="30">
        <f t="shared" ref="EE7:EE30" si="55">SUM(ED7/EH7)-100%</f>
        <v>1.4084507042253502E-2</v>
      </c>
      <c r="EF7" s="1">
        <v>3013</v>
      </c>
      <c r="EG7" s="31">
        <f t="shared" ref="EG7:EG36" si="56">SUM(EF7/EJ7)-100%</f>
        <v>0.13655224443606184</v>
      </c>
      <c r="EH7" s="1">
        <v>71</v>
      </c>
      <c r="EI7" s="30">
        <f t="shared" ref="EI7:EI30" si="57">SUM(EH7/EL7)-100%</f>
        <v>1.4285714285714235E-2</v>
      </c>
      <c r="EJ7" s="1">
        <v>2651</v>
      </c>
      <c r="EK7" s="32">
        <f t="shared" ref="EK7:EK36" si="58">SUM(EJ7/EN7)-100%</f>
        <v>0.17197170645446502</v>
      </c>
      <c r="EL7" s="1">
        <v>70</v>
      </c>
      <c r="EM7" s="30">
        <f t="shared" ref="EM7:EM30" si="59">SUM(EL7/EP7)-100%</f>
        <v>1.449275362318847E-2</v>
      </c>
      <c r="EN7" s="1">
        <v>2262</v>
      </c>
      <c r="EO7" s="33">
        <f t="shared" ref="EO7:EO36" si="60">SUM(EN7/ER7)-100%</f>
        <v>0.1689922480620154</v>
      </c>
      <c r="EP7" s="1">
        <v>69</v>
      </c>
      <c r="EQ7" s="35">
        <f t="shared" ref="EQ7:EQ30" si="61">SUM(EP7/ET7)-100%</f>
        <v>4.5454545454545414E-2</v>
      </c>
      <c r="ER7" s="1">
        <v>1935</v>
      </c>
      <c r="ES7" s="31">
        <f t="shared" ref="ES7:ES35" si="62">SUM(ER7/EV7)-100%</f>
        <v>0.15384615384615374</v>
      </c>
      <c r="ET7" s="1">
        <v>66</v>
      </c>
      <c r="EU7" s="36">
        <f t="shared" ref="EU7:EU30" si="63">SUM(ET7/EX7)-100%</f>
        <v>0.32000000000000006</v>
      </c>
      <c r="EV7" s="1">
        <v>1677</v>
      </c>
      <c r="EW7" s="33">
        <f t="shared" ref="EW7:EW35" si="64">SUM(EV7/EZ7)-100%</f>
        <v>0.21963636363636363</v>
      </c>
      <c r="EX7" s="1">
        <v>50</v>
      </c>
      <c r="EY7" s="35">
        <f t="shared" ref="EY7:EY30" si="65">SUM(EX7/FB7)-100%</f>
        <v>6.3829787234042534E-2</v>
      </c>
      <c r="EZ7" s="1">
        <v>1375</v>
      </c>
      <c r="FA7" s="31">
        <f t="shared" ref="FA7:FA35" si="66">SUM(EZ7/FD7)-100%</f>
        <v>0.10088070456365084</v>
      </c>
      <c r="FB7" s="1">
        <v>47</v>
      </c>
      <c r="FC7" s="32">
        <f>SUM(FB7/FF7)-100%</f>
        <v>0.14634146341463405</v>
      </c>
      <c r="FD7" s="8">
        <v>1249</v>
      </c>
      <c r="FE7" s="32">
        <f t="shared" ref="FE7:FE35" si="67">SUM(FD7/FH7)-100%</f>
        <v>0.23054187192118225</v>
      </c>
      <c r="FF7" s="8">
        <v>41</v>
      </c>
      <c r="FG7" s="32">
        <f>SUM(FF7/FJ7)-100%</f>
        <v>0.13888888888888884</v>
      </c>
      <c r="FH7" s="37">
        <v>1015</v>
      </c>
      <c r="FI7" s="32">
        <f>SUM(FH7/FL7)-100%</f>
        <v>0.16800920598388958</v>
      </c>
      <c r="FJ7" s="37">
        <v>36</v>
      </c>
      <c r="FK7" s="33">
        <f>SUM(FJ7/FN7)-100%</f>
        <v>9.0909090909090828E-2</v>
      </c>
      <c r="FL7" s="9">
        <v>869</v>
      </c>
      <c r="FM7" s="30">
        <f>SUM(FL7/FP7)-100%</f>
        <v>9.0338770388958656E-2</v>
      </c>
      <c r="FN7" s="9">
        <v>33</v>
      </c>
      <c r="FO7" s="30">
        <f>SUM(FN7/FR7)-100%</f>
        <v>0</v>
      </c>
      <c r="FP7" s="9">
        <v>797</v>
      </c>
      <c r="FQ7" s="31">
        <f t="shared" ref="FQ7:FQ31" si="68">SUM(FP7/FT7)-(100%)</f>
        <v>0.15007215007215002</v>
      </c>
      <c r="FR7" s="9">
        <v>33</v>
      </c>
      <c r="FS7" s="31">
        <f t="shared" ref="FS7:FS31" si="69">SUM(FR7/FV7)-(100%)</f>
        <v>0.13793103448275867</v>
      </c>
      <c r="FT7" s="9">
        <v>693</v>
      </c>
      <c r="FU7" s="33">
        <f>SUM(FT7/FX7)-100%</f>
        <v>0.21792618629173988</v>
      </c>
      <c r="FV7" s="9">
        <v>29</v>
      </c>
      <c r="FW7" s="33">
        <f>SUM(FV7/FY7)-100%</f>
        <v>0.20833333333333326</v>
      </c>
      <c r="FX7" s="9">
        <v>569</v>
      </c>
      <c r="FY7" s="11">
        <v>24</v>
      </c>
    </row>
    <row r="8" spans="2:181" x14ac:dyDescent="0.2">
      <c r="B8" s="24" t="s">
        <v>25</v>
      </c>
      <c r="C8" s="25">
        <v>4313</v>
      </c>
      <c r="D8" s="27">
        <f t="shared" si="0"/>
        <v>5.1182061905922449E-2</v>
      </c>
      <c r="E8" s="25">
        <v>100</v>
      </c>
      <c r="F8" s="27">
        <f t="shared" si="1"/>
        <v>1.0101010101010166E-2</v>
      </c>
      <c r="G8" s="25">
        <v>4103</v>
      </c>
      <c r="H8" s="26">
        <f t="shared" si="2"/>
        <v>6.8211403280395766E-2</v>
      </c>
      <c r="I8" s="25">
        <v>99</v>
      </c>
      <c r="J8" s="26">
        <f t="shared" si="3"/>
        <v>1.0204081632652962E-2</v>
      </c>
      <c r="K8" s="25">
        <v>3841</v>
      </c>
      <c r="L8" s="28">
        <f t="shared" si="4"/>
        <v>8.9336358479863875E-2</v>
      </c>
      <c r="M8" s="25">
        <v>98</v>
      </c>
      <c r="N8" s="29">
        <f t="shared" si="5"/>
        <v>5.3763440860215006E-2</v>
      </c>
      <c r="O8" s="25">
        <v>3526</v>
      </c>
      <c r="P8" s="28">
        <f t="shared" si="6"/>
        <v>5.2851597491788693E-2</v>
      </c>
      <c r="Q8" s="25">
        <v>93</v>
      </c>
      <c r="R8" s="26">
        <f t="shared" si="7"/>
        <v>1.0869565217391353E-2</v>
      </c>
      <c r="S8" s="25">
        <v>3349</v>
      </c>
      <c r="T8" s="29">
        <f t="shared" ref="T8:T30" si="70">SUM(S8/W8)-100%</f>
        <v>5.1821608040200973E-2</v>
      </c>
      <c r="U8" s="25">
        <v>92</v>
      </c>
      <c r="V8" s="29">
        <f t="shared" si="8"/>
        <v>2.2222222222222143E-2</v>
      </c>
      <c r="W8" s="25">
        <v>3184</v>
      </c>
      <c r="X8" s="26">
        <f t="shared" ref="X8:X30" si="71">SUM(W8/AA8)-100%</f>
        <v>4.5648604269293847E-2</v>
      </c>
      <c r="Y8" s="25">
        <v>90</v>
      </c>
      <c r="Z8" s="26">
        <f t="shared" si="9"/>
        <v>0</v>
      </c>
      <c r="AA8" s="25">
        <v>3045</v>
      </c>
      <c r="AB8" s="28">
        <f t="shared" ref="AB8:AB30" si="72">SUM(AA8/AE8)-100%</f>
        <v>6.2827225130890119E-2</v>
      </c>
      <c r="AC8" s="25">
        <v>90</v>
      </c>
      <c r="AD8" s="29">
        <f t="shared" si="10"/>
        <v>2.2727272727272707E-2</v>
      </c>
      <c r="AE8" s="25">
        <v>2865</v>
      </c>
      <c r="AF8" s="28">
        <f t="shared" ref="AF8:AF30" si="73">SUM(AE8/AI8)-100%</f>
        <v>5.9933407325194255E-2</v>
      </c>
      <c r="AG8" s="25">
        <v>88</v>
      </c>
      <c r="AH8" s="27">
        <f t="shared" si="11"/>
        <v>0</v>
      </c>
      <c r="AI8" s="25">
        <v>2703</v>
      </c>
      <c r="AJ8" s="28">
        <f t="shared" ref="AJ8:AJ30" si="74">SUM(AI8/AM8)-100%</f>
        <v>3.8018433179723532E-2</v>
      </c>
      <c r="AK8" s="25">
        <v>88</v>
      </c>
      <c r="AL8" s="27">
        <f t="shared" si="12"/>
        <v>0</v>
      </c>
      <c r="AM8" s="7">
        <v>2604</v>
      </c>
      <c r="AN8" s="28">
        <f t="shared" ref="AN8:AN30" si="75">SUM(AM8/AQ8)-100%</f>
        <v>2.2379269729092988E-2</v>
      </c>
      <c r="AO8" s="1">
        <v>88</v>
      </c>
      <c r="AP8" s="26">
        <f t="shared" si="13"/>
        <v>1.1494252873563315E-2</v>
      </c>
      <c r="AQ8" s="1">
        <v>2547</v>
      </c>
      <c r="AR8" s="29">
        <f t="shared" si="14"/>
        <v>1.2321144674085849E-2</v>
      </c>
      <c r="AS8" s="1">
        <v>87</v>
      </c>
      <c r="AT8" s="29">
        <f t="shared" si="15"/>
        <v>2.3529411764705799E-2</v>
      </c>
      <c r="AU8" s="1">
        <v>2516</v>
      </c>
      <c r="AV8" s="27">
        <f t="shared" si="16"/>
        <v>1.0036130068245663E-2</v>
      </c>
      <c r="AW8" s="1">
        <v>85</v>
      </c>
      <c r="AX8" s="27">
        <f t="shared" si="17"/>
        <v>0</v>
      </c>
      <c r="AY8" s="1">
        <v>2491</v>
      </c>
      <c r="AZ8" s="27">
        <f t="shared" si="18"/>
        <v>1.136825010150222E-2</v>
      </c>
      <c r="BA8" s="1">
        <v>85</v>
      </c>
      <c r="BB8" s="27">
        <f t="shared" si="19"/>
        <v>0</v>
      </c>
      <c r="BC8" s="1">
        <v>2463</v>
      </c>
      <c r="BD8" s="30">
        <f t="shared" si="20"/>
        <v>2.6370004120313206E-2</v>
      </c>
      <c r="BE8" s="1">
        <v>85</v>
      </c>
      <c r="BF8" s="31">
        <f t="shared" si="21"/>
        <v>0</v>
      </c>
      <c r="BG8" s="1">
        <v>2427</v>
      </c>
      <c r="BH8" s="31">
        <f t="shared" si="22"/>
        <v>1.9747899159663795E-2</v>
      </c>
      <c r="BI8" s="1">
        <v>85</v>
      </c>
      <c r="BJ8" s="32">
        <f t="shared" si="23"/>
        <v>4.9382716049382713E-2</v>
      </c>
      <c r="BK8" s="1">
        <v>2380</v>
      </c>
      <c r="BL8" s="31">
        <f t="shared" si="24"/>
        <v>2.8077753779697678E-2</v>
      </c>
      <c r="BM8" s="1">
        <v>81</v>
      </c>
      <c r="BN8" s="32">
        <f t="shared" si="25"/>
        <v>2.5316455696202445E-2</v>
      </c>
      <c r="BO8" s="1">
        <v>2315</v>
      </c>
      <c r="BP8" s="32">
        <f t="shared" si="26"/>
        <v>4.467509025270755E-2</v>
      </c>
      <c r="BQ8" s="1">
        <v>79</v>
      </c>
      <c r="BR8" s="33">
        <f t="shared" si="27"/>
        <v>1.2820512820512775E-2</v>
      </c>
      <c r="BS8" s="1">
        <v>2216</v>
      </c>
      <c r="BT8" s="33">
        <f t="shared" si="28"/>
        <v>3.4547152194211117E-2</v>
      </c>
      <c r="BU8" s="1">
        <v>78</v>
      </c>
      <c r="BV8" s="30">
        <f t="shared" si="29"/>
        <v>0</v>
      </c>
      <c r="BW8" s="1">
        <v>2142</v>
      </c>
      <c r="BX8" s="30">
        <f t="shared" si="30"/>
        <v>1.4684983420180098E-2</v>
      </c>
      <c r="BY8" s="1">
        <v>78</v>
      </c>
      <c r="BZ8" s="30">
        <f t="shared" si="31"/>
        <v>0</v>
      </c>
      <c r="CA8" s="1">
        <v>2111</v>
      </c>
      <c r="CB8" s="31">
        <f t="shared" si="32"/>
        <v>3.3284385707293307E-2</v>
      </c>
      <c r="CC8" s="1">
        <v>78</v>
      </c>
      <c r="CD8" s="31">
        <f t="shared" si="33"/>
        <v>1.298701298701288E-2</v>
      </c>
      <c r="CE8" s="1">
        <v>2043</v>
      </c>
      <c r="CF8" s="32">
        <f t="shared" si="34"/>
        <v>4.9306625577812069E-2</v>
      </c>
      <c r="CG8" s="1">
        <v>77</v>
      </c>
      <c r="CH8" s="33">
        <f t="shared" si="35"/>
        <v>2.6666666666666616E-2</v>
      </c>
      <c r="CI8" s="1">
        <v>1947</v>
      </c>
      <c r="CJ8" s="32">
        <f t="shared" si="36"/>
        <v>3.839999999999999E-2</v>
      </c>
      <c r="CK8" s="1">
        <v>75</v>
      </c>
      <c r="CL8" s="31">
        <f t="shared" si="37"/>
        <v>1.3513513513513598E-2</v>
      </c>
      <c r="CM8" s="1">
        <v>1875</v>
      </c>
      <c r="CN8" s="33">
        <f t="shared" si="38"/>
        <v>3.6484245439469376E-2</v>
      </c>
      <c r="CO8" s="1">
        <v>74</v>
      </c>
      <c r="CP8" s="33">
        <f t="shared" si="39"/>
        <v>5.7142857142857162E-2</v>
      </c>
      <c r="CQ8" s="1">
        <v>1809</v>
      </c>
      <c r="CR8" s="30">
        <f t="shared" si="40"/>
        <v>2.6674233825198623E-2</v>
      </c>
      <c r="CS8" s="1">
        <v>70</v>
      </c>
      <c r="CT8" s="30">
        <f t="shared" si="41"/>
        <v>0</v>
      </c>
      <c r="CU8" s="1">
        <v>1762</v>
      </c>
      <c r="CV8" s="31">
        <f t="shared" si="42"/>
        <v>2.6806526806526731E-2</v>
      </c>
      <c r="CW8" s="1">
        <v>70</v>
      </c>
      <c r="CX8" s="30">
        <f t="shared" ref="CX8:CX31" si="76">SUM(CW8/DA8)-100%</f>
        <v>1.449275362318847E-2</v>
      </c>
      <c r="CY8" s="1">
        <v>1716</v>
      </c>
      <c r="CZ8" s="32">
        <f t="shared" si="43"/>
        <v>7.2500000000000009E-2</v>
      </c>
      <c r="DA8" s="1">
        <v>69</v>
      </c>
      <c r="DB8" s="30">
        <f t="shared" ref="DB8:DB30" si="77">SUM(DA8/DE8)-100%</f>
        <v>1.4705882352941124E-2</v>
      </c>
      <c r="DC8" s="1">
        <v>1600</v>
      </c>
      <c r="DD8" s="32">
        <f t="shared" si="44"/>
        <v>6.4537591483699197E-2</v>
      </c>
      <c r="DE8" s="1">
        <v>68</v>
      </c>
      <c r="DF8" s="31">
        <f t="shared" ref="DF8:DF31" si="78">SUM(DE8/DI8)-100%</f>
        <v>3.0303030303030276E-2</v>
      </c>
      <c r="DG8" s="1">
        <v>1503</v>
      </c>
      <c r="DH8" s="32">
        <f t="shared" si="45"/>
        <v>4.5201668984701016E-2</v>
      </c>
      <c r="DI8" s="1">
        <v>66</v>
      </c>
      <c r="DJ8" s="32">
        <f t="shared" ref="DJ8:DJ31" si="79">SUM(DI8/DN8)-100%</f>
        <v>0.1785714285714286</v>
      </c>
      <c r="DK8" s="34"/>
      <c r="DL8" s="1">
        <v>1438</v>
      </c>
      <c r="DM8" s="33">
        <f t="shared" si="46"/>
        <v>4.3541364296081353E-2</v>
      </c>
      <c r="DN8" s="1">
        <v>56</v>
      </c>
      <c r="DO8" s="32">
        <f t="shared" si="47"/>
        <v>3.7037037037036979E-2</v>
      </c>
      <c r="DP8" s="1">
        <v>1378</v>
      </c>
      <c r="DQ8" s="30">
        <f t="shared" si="48"/>
        <v>3.1437125748503103E-2</v>
      </c>
      <c r="DR8" s="1">
        <v>54</v>
      </c>
      <c r="DS8" s="33">
        <f t="shared" si="49"/>
        <v>1.8867924528301883E-2</v>
      </c>
      <c r="DT8" s="1">
        <v>1336</v>
      </c>
      <c r="DU8" s="30">
        <f t="shared" si="50"/>
        <v>7.3092369477911756E-2</v>
      </c>
      <c r="DV8" s="9">
        <v>53</v>
      </c>
      <c r="DW8" s="31">
        <f t="shared" si="51"/>
        <v>0</v>
      </c>
      <c r="DX8" s="1">
        <v>1245</v>
      </c>
      <c r="DY8" s="31">
        <f t="shared" si="52"/>
        <v>7.3275862068965525E-2</v>
      </c>
      <c r="DZ8" s="1">
        <v>53</v>
      </c>
      <c r="EA8" s="33">
        <f t="shared" si="53"/>
        <v>3.9215686274509887E-2</v>
      </c>
      <c r="EB8" s="1">
        <v>1160</v>
      </c>
      <c r="EC8" s="33">
        <f t="shared" si="54"/>
        <v>0.10161443494776834</v>
      </c>
      <c r="ED8" s="1">
        <v>51</v>
      </c>
      <c r="EE8" s="30">
        <f t="shared" si="55"/>
        <v>2.0000000000000018E-2</v>
      </c>
      <c r="EF8" s="1">
        <v>1053</v>
      </c>
      <c r="EG8" s="31">
        <f t="shared" si="56"/>
        <v>6.578947368421062E-2</v>
      </c>
      <c r="EH8" s="1">
        <v>50</v>
      </c>
      <c r="EI8" s="31">
        <f t="shared" si="57"/>
        <v>6.3829787234042534E-2</v>
      </c>
      <c r="EJ8" s="1">
        <v>988</v>
      </c>
      <c r="EK8" s="33">
        <f t="shared" si="58"/>
        <v>0.1875</v>
      </c>
      <c r="EL8" s="1">
        <v>47</v>
      </c>
      <c r="EM8" s="36">
        <f t="shared" si="59"/>
        <v>9.3023255813953432E-2</v>
      </c>
      <c r="EN8" s="1">
        <v>832</v>
      </c>
      <c r="EO8" s="30">
        <f t="shared" si="60"/>
        <v>0.10198675496688736</v>
      </c>
      <c r="EP8" s="1">
        <v>43</v>
      </c>
      <c r="EQ8" s="35">
        <f t="shared" si="61"/>
        <v>4.8780487804878092E-2</v>
      </c>
      <c r="ER8" s="1">
        <v>755</v>
      </c>
      <c r="ES8" s="31">
        <f t="shared" si="62"/>
        <v>0.20607028753993606</v>
      </c>
      <c r="ET8" s="1">
        <v>41</v>
      </c>
      <c r="EU8" s="32">
        <f t="shared" si="63"/>
        <v>0.20588235294117641</v>
      </c>
      <c r="EV8" s="1">
        <v>626</v>
      </c>
      <c r="EW8" s="33">
        <f t="shared" si="64"/>
        <v>0.22265625</v>
      </c>
      <c r="EX8" s="1">
        <v>34</v>
      </c>
      <c r="EY8" s="33">
        <f t="shared" si="65"/>
        <v>6.25E-2</v>
      </c>
      <c r="EZ8" s="1">
        <v>512</v>
      </c>
      <c r="FA8" s="31">
        <f t="shared" si="66"/>
        <v>0.13274336283185839</v>
      </c>
      <c r="FB8" s="1">
        <v>32</v>
      </c>
      <c r="FC8" s="30">
        <f t="shared" ref="FC8:FC30" si="80">SUM(FB8/FF8)-100%</f>
        <v>3.2258064516129004E-2</v>
      </c>
      <c r="FD8" s="8">
        <v>452</v>
      </c>
      <c r="FE8" s="32">
        <f t="shared" si="67"/>
        <v>0.26256983240223453</v>
      </c>
      <c r="FF8" s="8">
        <v>31</v>
      </c>
      <c r="FG8" s="35">
        <f t="shared" ref="FG8:FG30" si="81">SUM(FF8/FJ8)-100%</f>
        <v>6.8965517241379226E-2</v>
      </c>
      <c r="FH8" s="37">
        <v>358</v>
      </c>
      <c r="FI8" s="32">
        <f t="shared" ref="FI8:FI30" si="82">SUM(FH8/FL8)-100%</f>
        <v>0.14743589743589736</v>
      </c>
      <c r="FJ8" s="37">
        <v>29</v>
      </c>
      <c r="FK8" s="33">
        <f t="shared" ref="FK8:FM31" si="83">SUM(FJ8/FN8)-100%</f>
        <v>0.20833333333333326</v>
      </c>
      <c r="FL8" s="9">
        <v>312</v>
      </c>
      <c r="FM8" s="30">
        <f t="shared" si="83"/>
        <v>4.6979865771812124E-2</v>
      </c>
      <c r="FN8" s="9">
        <v>24</v>
      </c>
      <c r="FO8" s="35">
        <f>SUM(FN8/FR8)-100%</f>
        <v>9.0909090909090828E-2</v>
      </c>
      <c r="FP8" s="9">
        <v>298</v>
      </c>
      <c r="FQ8" s="35">
        <f t="shared" si="68"/>
        <v>0.29565217391304355</v>
      </c>
      <c r="FR8" s="9">
        <v>22</v>
      </c>
      <c r="FS8" s="32">
        <f t="shared" si="69"/>
        <v>0.15789473684210531</v>
      </c>
      <c r="FT8" s="9">
        <v>230</v>
      </c>
      <c r="FU8" s="33">
        <f t="shared" ref="FU8:FU31" si="84">SUM(FT8/FX8)-100%</f>
        <v>0.3772455089820359</v>
      </c>
      <c r="FV8" s="9">
        <v>19</v>
      </c>
      <c r="FW8" s="33">
        <f>SUM(FV8/FY8)-100%</f>
        <v>5.555555555555558E-2</v>
      </c>
      <c r="FX8" s="9">
        <v>167</v>
      </c>
      <c r="FY8" s="11">
        <v>18</v>
      </c>
    </row>
    <row r="9" spans="2:181" x14ac:dyDescent="0.2">
      <c r="B9" s="24" t="s">
        <v>2</v>
      </c>
      <c r="C9" s="25">
        <v>4160</v>
      </c>
      <c r="D9" s="26">
        <f t="shared" si="0"/>
        <v>3.0978934324659146E-2</v>
      </c>
      <c r="E9" s="25">
        <v>121</v>
      </c>
      <c r="F9" s="27">
        <f t="shared" si="1"/>
        <v>8.3333333333333037E-3</v>
      </c>
      <c r="G9" s="25">
        <v>4035</v>
      </c>
      <c r="H9" s="29">
        <f t="shared" si="2"/>
        <v>3.1705446177448193E-2</v>
      </c>
      <c r="I9" s="25">
        <v>120</v>
      </c>
      <c r="J9" s="26">
        <f t="shared" si="3"/>
        <v>8.4033613445377853E-3</v>
      </c>
      <c r="K9" s="25">
        <v>3911</v>
      </c>
      <c r="L9" s="29">
        <f t="shared" si="4"/>
        <v>2.4090075936108901E-2</v>
      </c>
      <c r="M9" s="25">
        <v>119</v>
      </c>
      <c r="N9" s="29">
        <f t="shared" si="5"/>
        <v>1.7094017094017033E-2</v>
      </c>
      <c r="O9" s="25">
        <v>3819</v>
      </c>
      <c r="P9" s="27">
        <f t="shared" si="6"/>
        <v>1.9215372297838318E-2</v>
      </c>
      <c r="Q9" s="25">
        <v>117</v>
      </c>
      <c r="R9" s="26">
        <f t="shared" si="7"/>
        <v>8.6206896551723755E-3</v>
      </c>
      <c r="S9" s="25">
        <v>3747</v>
      </c>
      <c r="T9" s="27">
        <f t="shared" si="70"/>
        <v>3.1947122004957418E-2</v>
      </c>
      <c r="U9" s="25">
        <v>116</v>
      </c>
      <c r="V9" s="29">
        <f t="shared" si="8"/>
        <v>8.6956521739129933E-3</v>
      </c>
      <c r="W9" s="25">
        <v>3631</v>
      </c>
      <c r="X9" s="27">
        <f t="shared" si="71"/>
        <v>3.6836093660765235E-2</v>
      </c>
      <c r="Y9" s="25">
        <v>115</v>
      </c>
      <c r="Z9" s="27">
        <f t="shared" si="9"/>
        <v>0</v>
      </c>
      <c r="AA9" s="25">
        <v>3502</v>
      </c>
      <c r="AB9" s="26">
        <f t="shared" si="72"/>
        <v>5.7047992755810517E-2</v>
      </c>
      <c r="AC9" s="25">
        <v>115</v>
      </c>
      <c r="AD9" s="26">
        <f t="shared" si="10"/>
        <v>8.7719298245614308E-3</v>
      </c>
      <c r="AE9" s="25">
        <v>3313</v>
      </c>
      <c r="AF9" s="28">
        <f t="shared" si="73"/>
        <v>6.6645202833226058E-2</v>
      </c>
      <c r="AG9" s="25">
        <v>114</v>
      </c>
      <c r="AH9" s="29">
        <f t="shared" si="11"/>
        <v>2.7027027027026973E-2</v>
      </c>
      <c r="AI9" s="25">
        <v>3106</v>
      </c>
      <c r="AJ9" s="29">
        <f t="shared" si="74"/>
        <v>5.4310930074677577E-2</v>
      </c>
      <c r="AK9" s="25">
        <v>111</v>
      </c>
      <c r="AL9" s="27">
        <f t="shared" si="12"/>
        <v>9.0909090909090384E-3</v>
      </c>
      <c r="AM9" s="7">
        <v>2946</v>
      </c>
      <c r="AN9" s="26">
        <f t="shared" si="75"/>
        <v>1.9024558976132866E-2</v>
      </c>
      <c r="AO9" s="1">
        <v>110</v>
      </c>
      <c r="AP9" s="27">
        <f t="shared" si="13"/>
        <v>9.1743119266054496E-3</v>
      </c>
      <c r="AQ9" s="1">
        <v>2891</v>
      </c>
      <c r="AR9" s="29">
        <f t="shared" si="14"/>
        <v>4.4436416184971073E-2</v>
      </c>
      <c r="AS9" s="1">
        <v>109</v>
      </c>
      <c r="AT9" s="26">
        <f t="shared" si="15"/>
        <v>9.2592592592593004E-3</v>
      </c>
      <c r="AU9" s="1">
        <v>2768</v>
      </c>
      <c r="AV9" s="27">
        <f t="shared" si="16"/>
        <v>3.5928143712574911E-2</v>
      </c>
      <c r="AW9" s="1">
        <v>108</v>
      </c>
      <c r="AX9" s="29">
        <f t="shared" si="17"/>
        <v>2.857142857142847E-2</v>
      </c>
      <c r="AY9" s="1">
        <v>2672</v>
      </c>
      <c r="AZ9" s="27">
        <f t="shared" si="18"/>
        <v>3.7267080745341685E-2</v>
      </c>
      <c r="BA9" s="1">
        <v>105</v>
      </c>
      <c r="BB9" s="27">
        <f t="shared" si="19"/>
        <v>0</v>
      </c>
      <c r="BC9" s="1">
        <v>2576</v>
      </c>
      <c r="BD9" s="30">
        <f t="shared" si="20"/>
        <v>6.0317460317460325E-2</v>
      </c>
      <c r="BE9" s="1">
        <v>105</v>
      </c>
      <c r="BF9" s="31">
        <f t="shared" si="21"/>
        <v>9.6153846153845812E-3</v>
      </c>
      <c r="BG9" s="1">
        <v>2520</v>
      </c>
      <c r="BH9" s="31">
        <f t="shared" si="22"/>
        <v>4.1752790409260054E-2</v>
      </c>
      <c r="BI9" s="1">
        <v>104</v>
      </c>
      <c r="BJ9" s="33">
        <f t="shared" si="23"/>
        <v>9.473684210526323E-2</v>
      </c>
      <c r="BK9" s="1">
        <v>2419</v>
      </c>
      <c r="BL9" s="32">
        <f t="shared" si="24"/>
        <v>6.1896400351185266E-2</v>
      </c>
      <c r="BM9" s="1">
        <v>95</v>
      </c>
      <c r="BN9" s="31">
        <f t="shared" si="25"/>
        <v>2.1505376344086002E-2</v>
      </c>
      <c r="BO9" s="1">
        <v>2278</v>
      </c>
      <c r="BP9" s="33">
        <f t="shared" si="26"/>
        <v>2.5202520252025185E-2</v>
      </c>
      <c r="BQ9" s="1">
        <v>93</v>
      </c>
      <c r="BR9" s="33">
        <f t="shared" si="27"/>
        <v>2.19780219780219E-2</v>
      </c>
      <c r="BS9" s="1">
        <v>2222</v>
      </c>
      <c r="BT9" s="31">
        <f t="shared" si="28"/>
        <v>1.7399267399267337E-2</v>
      </c>
      <c r="BU9" s="1">
        <v>91</v>
      </c>
      <c r="BV9" s="33">
        <f t="shared" si="29"/>
        <v>1.1111111111111072E-2</v>
      </c>
      <c r="BW9" s="1">
        <v>2184</v>
      </c>
      <c r="BX9" s="33">
        <f t="shared" si="30"/>
        <v>3.5071090047393394E-2</v>
      </c>
      <c r="BY9" s="1">
        <v>90</v>
      </c>
      <c r="BZ9" s="30">
        <f t="shared" si="31"/>
        <v>0</v>
      </c>
      <c r="CA9" s="1">
        <v>2110</v>
      </c>
      <c r="CB9" s="31">
        <f t="shared" si="32"/>
        <v>1.2962073931829021E-2</v>
      </c>
      <c r="CC9" s="1">
        <v>90</v>
      </c>
      <c r="CD9" s="30">
        <f t="shared" si="33"/>
        <v>3.4482758620689724E-2</v>
      </c>
      <c r="CE9" s="1">
        <v>2083</v>
      </c>
      <c r="CF9" s="33">
        <f t="shared" si="34"/>
        <v>2.6614095613602728E-2</v>
      </c>
      <c r="CG9" s="1">
        <v>87</v>
      </c>
      <c r="CH9" s="31">
        <f t="shared" si="35"/>
        <v>3.5714285714285809E-2</v>
      </c>
      <c r="CI9" s="1">
        <v>2029</v>
      </c>
      <c r="CJ9" s="30">
        <f t="shared" si="36"/>
        <v>2.2166246851385463E-2</v>
      </c>
      <c r="CK9" s="1">
        <v>84</v>
      </c>
      <c r="CL9" s="33">
        <f t="shared" si="37"/>
        <v>6.3291139240506222E-2</v>
      </c>
      <c r="CM9" s="1">
        <v>1985</v>
      </c>
      <c r="CN9" s="30">
        <f t="shared" si="38"/>
        <v>2.372356884992266E-2</v>
      </c>
      <c r="CO9" s="1">
        <v>79</v>
      </c>
      <c r="CP9" s="30">
        <f t="shared" si="39"/>
        <v>2.5974025974025983E-2</v>
      </c>
      <c r="CQ9" s="1">
        <v>1939</v>
      </c>
      <c r="CR9" s="31">
        <f t="shared" si="40"/>
        <v>2.5925925925925908E-2</v>
      </c>
      <c r="CS9" s="1">
        <v>77</v>
      </c>
      <c r="CT9" s="30">
        <f t="shared" si="41"/>
        <v>2.6666666666666616E-2</v>
      </c>
      <c r="CU9" s="1">
        <v>1890</v>
      </c>
      <c r="CV9" s="33">
        <f t="shared" si="42"/>
        <v>0.10332749562171628</v>
      </c>
      <c r="CW9" s="1">
        <v>75</v>
      </c>
      <c r="CX9" s="31">
        <f t="shared" si="76"/>
        <v>4.1666666666666741E-2</v>
      </c>
      <c r="CY9" s="1">
        <v>1713</v>
      </c>
      <c r="CZ9" s="31">
        <f t="shared" si="43"/>
        <v>5.7407407407407351E-2</v>
      </c>
      <c r="DA9" s="1">
        <v>72</v>
      </c>
      <c r="DB9" s="33">
        <f t="shared" si="77"/>
        <v>7.4626865671641784E-2</v>
      </c>
      <c r="DC9" s="1">
        <v>1620</v>
      </c>
      <c r="DD9" s="33">
        <f t="shared" si="44"/>
        <v>0.12266112266112272</v>
      </c>
      <c r="DE9" s="1">
        <v>67</v>
      </c>
      <c r="DF9" s="31">
        <f t="shared" si="78"/>
        <v>0</v>
      </c>
      <c r="DG9" s="1">
        <v>1443</v>
      </c>
      <c r="DH9" s="30">
        <f t="shared" si="45"/>
        <v>9.2354277062831169E-2</v>
      </c>
      <c r="DI9" s="9">
        <v>67</v>
      </c>
      <c r="DJ9" s="32">
        <f t="shared" si="79"/>
        <v>9.8360655737705027E-2</v>
      </c>
      <c r="DK9" s="34"/>
      <c r="DL9" s="9">
        <v>1321</v>
      </c>
      <c r="DM9" s="31">
        <f t="shared" si="46"/>
        <v>0.19439421338155505</v>
      </c>
      <c r="DN9" s="9">
        <v>61</v>
      </c>
      <c r="DO9" s="33">
        <f t="shared" si="47"/>
        <v>3.3898305084745672E-2</v>
      </c>
      <c r="DP9" s="9">
        <v>1106</v>
      </c>
      <c r="DQ9" s="33">
        <f t="shared" si="48"/>
        <v>0.19567567567567568</v>
      </c>
      <c r="DR9" s="9">
        <v>59</v>
      </c>
      <c r="DS9" s="30">
        <f t="shared" si="49"/>
        <v>0</v>
      </c>
      <c r="DT9" s="9">
        <v>925</v>
      </c>
      <c r="DU9" s="31">
        <f t="shared" si="50"/>
        <v>6.0779816513761409E-2</v>
      </c>
      <c r="DV9" s="9">
        <v>59</v>
      </c>
      <c r="DW9" s="31">
        <f t="shared" si="51"/>
        <v>5.3571428571428603E-2</v>
      </c>
      <c r="DX9" s="1">
        <v>872</v>
      </c>
      <c r="DY9" s="32">
        <f t="shared" si="52"/>
        <v>0.15496688741721854</v>
      </c>
      <c r="DZ9" s="1">
        <v>56</v>
      </c>
      <c r="EA9" s="32">
        <f t="shared" si="53"/>
        <v>9.8039215686274606E-2</v>
      </c>
      <c r="EB9" s="1">
        <v>755</v>
      </c>
      <c r="EC9" s="32">
        <f t="shared" si="54"/>
        <v>9.2619392185238736E-2</v>
      </c>
      <c r="ED9" s="1">
        <v>51</v>
      </c>
      <c r="EE9" s="33">
        <f t="shared" si="55"/>
        <v>6.25E-2</v>
      </c>
      <c r="EF9" s="1">
        <v>691</v>
      </c>
      <c r="EG9" s="33">
        <f t="shared" si="56"/>
        <v>7.4650077760497702E-2</v>
      </c>
      <c r="EH9" s="1">
        <v>48</v>
      </c>
      <c r="EI9" s="31">
        <f t="shared" si="57"/>
        <v>0</v>
      </c>
      <c r="EJ9" s="1">
        <v>643</v>
      </c>
      <c r="EK9" s="31">
        <f t="shared" si="58"/>
        <v>5.7565789473684292E-2</v>
      </c>
      <c r="EL9" s="1">
        <v>48</v>
      </c>
      <c r="EM9" s="32">
        <f t="shared" si="59"/>
        <v>4.3478260869565188E-2</v>
      </c>
      <c r="EN9" s="1">
        <v>608</v>
      </c>
      <c r="EO9" s="33">
        <f t="shared" si="60"/>
        <v>8.7656529516994652E-2</v>
      </c>
      <c r="EP9" s="1">
        <v>46</v>
      </c>
      <c r="EQ9" s="36">
        <f t="shared" si="61"/>
        <v>2.2222222222222143E-2</v>
      </c>
      <c r="ER9" s="1">
        <v>559</v>
      </c>
      <c r="ES9" s="31">
        <f t="shared" si="62"/>
        <v>4.0968342644320366E-2</v>
      </c>
      <c r="ET9" s="1">
        <v>45</v>
      </c>
      <c r="EU9" s="35">
        <f t="shared" si="63"/>
        <v>0</v>
      </c>
      <c r="EV9" s="1">
        <v>537</v>
      </c>
      <c r="EW9" s="33">
        <f t="shared" si="64"/>
        <v>0.19333333333333336</v>
      </c>
      <c r="EX9" s="1">
        <v>45</v>
      </c>
      <c r="EY9" s="33">
        <f t="shared" si="65"/>
        <v>0.21621621621621623</v>
      </c>
      <c r="EZ9" s="1">
        <v>450</v>
      </c>
      <c r="FA9" s="30">
        <f t="shared" si="66"/>
        <v>8.9588377723970991E-2</v>
      </c>
      <c r="FB9" s="1">
        <v>37</v>
      </c>
      <c r="FC9" s="31">
        <f t="shared" si="80"/>
        <v>0</v>
      </c>
      <c r="FD9" s="25">
        <v>413</v>
      </c>
      <c r="FE9" s="35">
        <f t="shared" si="67"/>
        <v>0.1132075471698113</v>
      </c>
      <c r="FF9" s="25">
        <v>37</v>
      </c>
      <c r="FG9" s="32">
        <f t="shared" si="81"/>
        <v>0.15625</v>
      </c>
      <c r="FH9" s="37">
        <v>371</v>
      </c>
      <c r="FI9" s="32">
        <f t="shared" si="82"/>
        <v>0.12084592145015116</v>
      </c>
      <c r="FJ9" s="37">
        <v>32</v>
      </c>
      <c r="FK9" s="33">
        <f t="shared" si="83"/>
        <v>6.6666666666666652E-2</v>
      </c>
      <c r="FL9" s="9">
        <v>331</v>
      </c>
      <c r="FM9" s="30">
        <f t="shared" si="83"/>
        <v>8.169934640522869E-2</v>
      </c>
      <c r="FN9" s="9">
        <v>30</v>
      </c>
      <c r="FO9" s="35">
        <f t="shared" ref="FO9:FO31" si="85">SUM(FN9/FR9)-100%</f>
        <v>3.4482758620689724E-2</v>
      </c>
      <c r="FP9" s="9">
        <v>306</v>
      </c>
      <c r="FQ9" s="35">
        <f t="shared" si="68"/>
        <v>0.10469314079422376</v>
      </c>
      <c r="FR9" s="9">
        <v>29</v>
      </c>
      <c r="FS9" s="32">
        <f t="shared" si="69"/>
        <v>0.15999999999999992</v>
      </c>
      <c r="FT9" s="9">
        <v>277</v>
      </c>
      <c r="FU9" s="33">
        <f t="shared" si="84"/>
        <v>0.14937759336099576</v>
      </c>
      <c r="FV9" s="9">
        <v>25</v>
      </c>
      <c r="FW9" s="33">
        <f t="shared" ref="FW9:FW30" si="86">SUM(FV9/FY9)-100%</f>
        <v>0.13636363636363646</v>
      </c>
      <c r="FX9" s="9">
        <v>241</v>
      </c>
      <c r="FY9" s="11">
        <v>22</v>
      </c>
    </row>
    <row r="10" spans="2:181" x14ac:dyDescent="0.2">
      <c r="B10" s="24" t="s">
        <v>3</v>
      </c>
      <c r="C10" s="25">
        <v>5909</v>
      </c>
      <c r="D10" s="27">
        <f t="shared" si="0"/>
        <v>1.2335103649134815E-2</v>
      </c>
      <c r="E10" s="25">
        <v>200</v>
      </c>
      <c r="F10" s="26">
        <f t="shared" si="1"/>
        <v>1.5228426395939021E-2</v>
      </c>
      <c r="G10" s="25">
        <v>5837</v>
      </c>
      <c r="H10" s="26">
        <f t="shared" si="2"/>
        <v>2.15260763038152E-2</v>
      </c>
      <c r="I10" s="25">
        <v>197</v>
      </c>
      <c r="J10" s="29">
        <f t="shared" si="3"/>
        <v>3.6842105263157787E-2</v>
      </c>
      <c r="K10" s="25">
        <v>5714</v>
      </c>
      <c r="L10" s="29">
        <f t="shared" si="4"/>
        <v>4.3462381300219066E-2</v>
      </c>
      <c r="M10" s="25">
        <v>190</v>
      </c>
      <c r="N10" s="26">
        <f t="shared" si="5"/>
        <v>1.6042780748663166E-2</v>
      </c>
      <c r="O10" s="25">
        <v>5476</v>
      </c>
      <c r="P10" s="27">
        <f t="shared" si="6"/>
        <v>1.463776171947373E-2</v>
      </c>
      <c r="Q10" s="25">
        <v>187</v>
      </c>
      <c r="R10" s="28">
        <f t="shared" si="7"/>
        <v>3.8888888888888973E-2</v>
      </c>
      <c r="S10" s="25">
        <v>5397</v>
      </c>
      <c r="T10" s="27">
        <f t="shared" si="70"/>
        <v>2.7608530083777616E-2</v>
      </c>
      <c r="U10" s="25">
        <v>180</v>
      </c>
      <c r="V10" s="29">
        <f t="shared" si="8"/>
        <v>3.4482758620689724E-2</v>
      </c>
      <c r="W10" s="25">
        <v>5252</v>
      </c>
      <c r="X10" s="27">
        <f t="shared" si="71"/>
        <v>3.508080409933001E-2</v>
      </c>
      <c r="Y10" s="25">
        <v>174</v>
      </c>
      <c r="Z10" s="27">
        <f t="shared" si="9"/>
        <v>2.9585798816567976E-2</v>
      </c>
      <c r="AA10" s="25">
        <v>5074</v>
      </c>
      <c r="AB10" s="26">
        <f t="shared" si="72"/>
        <v>7.5227802500529739E-2</v>
      </c>
      <c r="AC10" s="25">
        <v>169</v>
      </c>
      <c r="AD10" s="26">
        <f t="shared" si="10"/>
        <v>6.9620253164556889E-2</v>
      </c>
      <c r="AE10" s="25">
        <v>4719</v>
      </c>
      <c r="AF10" s="28">
        <f t="shared" si="73"/>
        <v>0.13029940119760486</v>
      </c>
      <c r="AG10" s="25">
        <v>158</v>
      </c>
      <c r="AH10" s="28">
        <f t="shared" si="11"/>
        <v>0.10489510489510478</v>
      </c>
      <c r="AI10" s="25">
        <v>4175</v>
      </c>
      <c r="AJ10" s="29">
        <f t="shared" si="74"/>
        <v>8.1606217616580379E-2</v>
      </c>
      <c r="AK10" s="25">
        <v>143</v>
      </c>
      <c r="AL10" s="28">
        <f t="shared" si="12"/>
        <v>8.3333333333333259E-2</v>
      </c>
      <c r="AM10" s="7">
        <v>3860</v>
      </c>
      <c r="AN10" s="26">
        <f t="shared" si="75"/>
        <v>3.9590627524912492E-2</v>
      </c>
      <c r="AO10" s="1">
        <v>132</v>
      </c>
      <c r="AP10" s="28">
        <f t="shared" si="13"/>
        <v>6.4516129032258007E-2</v>
      </c>
      <c r="AQ10" s="1">
        <v>3713</v>
      </c>
      <c r="AR10" s="28">
        <f t="shared" si="14"/>
        <v>4.0639013452914874E-2</v>
      </c>
      <c r="AS10" s="1">
        <v>124</v>
      </c>
      <c r="AT10" s="29">
        <f t="shared" si="15"/>
        <v>3.3333333333333437E-2</v>
      </c>
      <c r="AU10" s="1">
        <v>3568</v>
      </c>
      <c r="AV10" s="29">
        <f t="shared" si="16"/>
        <v>2.8538483712885476E-2</v>
      </c>
      <c r="AW10" s="1">
        <v>120</v>
      </c>
      <c r="AX10" s="26">
        <f t="shared" si="17"/>
        <v>0</v>
      </c>
      <c r="AY10" s="1">
        <v>3469</v>
      </c>
      <c r="AZ10" s="27">
        <f t="shared" si="18"/>
        <v>2.0894643908181187E-2</v>
      </c>
      <c r="BA10" s="1">
        <v>120</v>
      </c>
      <c r="BB10" s="28">
        <f t="shared" si="19"/>
        <v>3.4482758620689724E-2</v>
      </c>
      <c r="BC10" s="1">
        <v>3398</v>
      </c>
      <c r="BD10" s="30">
        <f t="shared" si="20"/>
        <v>3.6760310818888309E-2</v>
      </c>
      <c r="BE10" s="1">
        <v>116</v>
      </c>
      <c r="BF10" s="32">
        <f t="shared" si="21"/>
        <v>2.6548672566371723E-2</v>
      </c>
      <c r="BG10" s="1">
        <v>3346</v>
      </c>
      <c r="BH10" s="31">
        <f t="shared" si="22"/>
        <v>1.8879415347137662E-2</v>
      </c>
      <c r="BI10" s="1">
        <v>113</v>
      </c>
      <c r="BJ10" s="33">
        <f t="shared" si="23"/>
        <v>1.8018018018018056E-2</v>
      </c>
      <c r="BK10" s="1">
        <v>3284</v>
      </c>
      <c r="BL10" s="32">
        <f t="shared" si="24"/>
        <v>2.2415940224159492E-2</v>
      </c>
      <c r="BM10" s="1">
        <v>111</v>
      </c>
      <c r="BN10" s="31">
        <f t="shared" si="25"/>
        <v>9.0909090909090384E-3</v>
      </c>
      <c r="BO10" s="1">
        <v>3212</v>
      </c>
      <c r="BP10" s="33">
        <f t="shared" si="26"/>
        <v>1.7099430018999273E-2</v>
      </c>
      <c r="BQ10" s="1">
        <v>110</v>
      </c>
      <c r="BR10" s="33">
        <f t="shared" si="27"/>
        <v>2.8037383177569986E-2</v>
      </c>
      <c r="BS10" s="1">
        <v>3158</v>
      </c>
      <c r="BT10" s="30">
        <f t="shared" si="28"/>
        <v>1.347881899871628E-2</v>
      </c>
      <c r="BU10" s="1">
        <v>107</v>
      </c>
      <c r="BV10" s="33">
        <f t="shared" si="29"/>
        <v>1.904761904761898E-2</v>
      </c>
      <c r="BW10" s="1">
        <v>3116</v>
      </c>
      <c r="BX10" s="31">
        <f t="shared" si="30"/>
        <v>2.0635440550278439E-2</v>
      </c>
      <c r="BY10" s="1">
        <v>105</v>
      </c>
      <c r="BZ10" s="30">
        <f t="shared" si="31"/>
        <v>0</v>
      </c>
      <c r="CA10" s="1">
        <v>3053</v>
      </c>
      <c r="CB10" s="33">
        <f t="shared" si="32"/>
        <v>2.5529056096741609E-2</v>
      </c>
      <c r="CC10" s="1">
        <v>105</v>
      </c>
      <c r="CD10" s="31">
        <f t="shared" si="33"/>
        <v>2.9411764705882248E-2</v>
      </c>
      <c r="CE10" s="1">
        <v>2977</v>
      </c>
      <c r="CF10" s="31">
        <f t="shared" si="34"/>
        <v>2.3727647867950452E-2</v>
      </c>
      <c r="CG10" s="1">
        <v>102</v>
      </c>
      <c r="CH10" s="33">
        <f t="shared" si="35"/>
        <v>3.0303030303030276E-2</v>
      </c>
      <c r="CI10" s="1">
        <v>2908</v>
      </c>
      <c r="CJ10" s="33">
        <f t="shared" si="36"/>
        <v>3.2303869364572302E-2</v>
      </c>
      <c r="CK10" s="1">
        <v>99</v>
      </c>
      <c r="CL10" s="30">
        <f t="shared" si="37"/>
        <v>2.0618556701030855E-2</v>
      </c>
      <c r="CM10" s="1">
        <v>2817</v>
      </c>
      <c r="CN10" s="30">
        <f t="shared" si="38"/>
        <v>2.9981718464350937E-2</v>
      </c>
      <c r="CO10" s="1">
        <v>97</v>
      </c>
      <c r="CP10" s="33">
        <f t="shared" si="39"/>
        <v>5.4347826086956541E-2</v>
      </c>
      <c r="CQ10" s="1">
        <v>2735</v>
      </c>
      <c r="CR10" s="30">
        <f t="shared" si="40"/>
        <v>5.8846302748741808E-2</v>
      </c>
      <c r="CS10" s="1">
        <v>92</v>
      </c>
      <c r="CT10" s="30">
        <f t="shared" si="41"/>
        <v>2.2222222222222143E-2</v>
      </c>
      <c r="CU10" s="1">
        <v>2583</v>
      </c>
      <c r="CV10" s="31">
        <f t="shared" si="42"/>
        <v>7.6249999999999929E-2</v>
      </c>
      <c r="CW10" s="1">
        <v>90</v>
      </c>
      <c r="CX10" s="30">
        <f t="shared" si="76"/>
        <v>8.43373493975903E-2</v>
      </c>
      <c r="CY10" s="1">
        <v>2400</v>
      </c>
      <c r="CZ10" s="32">
        <f t="shared" si="43"/>
        <v>8.1568273997296048E-2</v>
      </c>
      <c r="DA10" s="1">
        <v>83</v>
      </c>
      <c r="DB10" s="31">
        <f t="shared" si="77"/>
        <v>0.13698630136986312</v>
      </c>
      <c r="DC10" s="1">
        <v>2219</v>
      </c>
      <c r="DD10" s="33">
        <f t="shared" si="44"/>
        <v>7.3017408123791094E-2</v>
      </c>
      <c r="DE10" s="1">
        <v>73</v>
      </c>
      <c r="DF10" s="33">
        <f t="shared" si="78"/>
        <v>0.17741935483870974</v>
      </c>
      <c r="DG10" s="1">
        <v>2068</v>
      </c>
      <c r="DH10" s="30">
        <f t="shared" si="45"/>
        <v>6.873385012919897E-2</v>
      </c>
      <c r="DI10" s="8">
        <v>62</v>
      </c>
      <c r="DJ10" s="30">
        <f t="shared" si="79"/>
        <v>0.16981132075471694</v>
      </c>
      <c r="DK10" s="34"/>
      <c r="DL10" s="8">
        <v>1935</v>
      </c>
      <c r="DM10" s="31">
        <f t="shared" si="46"/>
        <v>9.7560975609756184E-2</v>
      </c>
      <c r="DN10" s="8">
        <v>53</v>
      </c>
      <c r="DO10" s="31">
        <f t="shared" si="47"/>
        <v>0.26190476190476186</v>
      </c>
      <c r="DP10" s="9">
        <v>1763</v>
      </c>
      <c r="DQ10" s="33">
        <f t="shared" si="48"/>
        <v>0.20095367847411438</v>
      </c>
      <c r="DR10" s="9">
        <v>42</v>
      </c>
      <c r="DS10" s="32">
        <f t="shared" si="49"/>
        <v>0.27272727272727271</v>
      </c>
      <c r="DT10" s="9">
        <v>1468</v>
      </c>
      <c r="DU10" s="31">
        <f t="shared" si="50"/>
        <v>0.19059205190592055</v>
      </c>
      <c r="DV10" s="9">
        <v>33</v>
      </c>
      <c r="DW10" s="33">
        <f t="shared" si="51"/>
        <v>0.10000000000000009</v>
      </c>
      <c r="DX10" s="1">
        <v>1233</v>
      </c>
      <c r="DY10" s="33">
        <f t="shared" si="52"/>
        <v>0.33586132177681471</v>
      </c>
      <c r="DZ10" s="1">
        <v>30</v>
      </c>
      <c r="EA10" s="31">
        <f t="shared" si="53"/>
        <v>3.4482758620689724E-2</v>
      </c>
      <c r="EB10" s="1">
        <v>923</v>
      </c>
      <c r="EC10" s="31">
        <f t="shared" si="54"/>
        <v>0.19250645994832039</v>
      </c>
      <c r="ED10" s="1">
        <v>29</v>
      </c>
      <c r="EE10" s="33">
        <f t="shared" si="55"/>
        <v>0.44999999999999996</v>
      </c>
      <c r="EF10" s="1">
        <v>774</v>
      </c>
      <c r="EG10" s="32">
        <f t="shared" si="56"/>
        <v>0.31856899488926738</v>
      </c>
      <c r="EH10" s="1">
        <v>20</v>
      </c>
      <c r="EI10" s="30">
        <f t="shared" si="57"/>
        <v>0</v>
      </c>
      <c r="EJ10" s="1">
        <v>587</v>
      </c>
      <c r="EK10" s="33">
        <f t="shared" si="58"/>
        <v>0.27886710239651413</v>
      </c>
      <c r="EL10" s="1">
        <v>20</v>
      </c>
      <c r="EM10" s="30">
        <f t="shared" si="59"/>
        <v>5.2631578947368363E-2</v>
      </c>
      <c r="EN10" s="1">
        <v>459</v>
      </c>
      <c r="EO10" s="31">
        <f t="shared" si="60"/>
        <v>0.25753424657534252</v>
      </c>
      <c r="EP10" s="1">
        <v>19</v>
      </c>
      <c r="EQ10" s="30">
        <f t="shared" si="61"/>
        <v>5.555555555555558E-2</v>
      </c>
      <c r="ER10" s="1">
        <v>365</v>
      </c>
      <c r="ES10" s="33">
        <f t="shared" si="62"/>
        <v>0.31294964028776984</v>
      </c>
      <c r="ET10" s="1">
        <v>18</v>
      </c>
      <c r="EU10" s="30">
        <f t="shared" si="63"/>
        <v>5.8823529411764719E-2</v>
      </c>
      <c r="EV10" s="1">
        <v>278</v>
      </c>
      <c r="EW10" s="33">
        <f t="shared" si="64"/>
        <v>0.2410714285714286</v>
      </c>
      <c r="EX10" s="1">
        <v>17</v>
      </c>
      <c r="EY10" s="35">
        <f t="shared" si="65"/>
        <v>6.25E-2</v>
      </c>
      <c r="EZ10" s="1">
        <v>224</v>
      </c>
      <c r="FA10" s="31">
        <f t="shared" si="66"/>
        <v>9.8039215686274606E-2</v>
      </c>
      <c r="FB10" s="1">
        <v>16</v>
      </c>
      <c r="FC10" s="33">
        <f t="shared" si="80"/>
        <v>0.23076923076923084</v>
      </c>
      <c r="FD10" s="8">
        <v>204</v>
      </c>
      <c r="FE10" s="32">
        <f t="shared" si="67"/>
        <v>0.17241379310344818</v>
      </c>
      <c r="FF10" s="8">
        <v>13</v>
      </c>
      <c r="FG10" s="30">
        <f t="shared" si="81"/>
        <v>8.3333333333333259E-2</v>
      </c>
      <c r="FH10" s="37">
        <v>174</v>
      </c>
      <c r="FI10" s="32">
        <f t="shared" si="82"/>
        <v>0.14473684210526305</v>
      </c>
      <c r="FJ10" s="37">
        <v>12</v>
      </c>
      <c r="FK10" s="31">
        <f t="shared" si="83"/>
        <v>9.0909090909090828E-2</v>
      </c>
      <c r="FL10" s="9">
        <v>152</v>
      </c>
      <c r="FM10" s="31">
        <f t="shared" si="83"/>
        <v>0.10948905109489049</v>
      </c>
      <c r="FN10" s="9">
        <v>11</v>
      </c>
      <c r="FO10" s="32">
        <f t="shared" si="85"/>
        <v>0.22222222222222232</v>
      </c>
      <c r="FP10" s="9">
        <v>137</v>
      </c>
      <c r="FQ10" s="32">
        <f t="shared" si="68"/>
        <v>0.30476190476190479</v>
      </c>
      <c r="FR10" s="9">
        <v>9</v>
      </c>
      <c r="FS10" s="33">
        <f t="shared" si="69"/>
        <v>0.125</v>
      </c>
      <c r="FT10" s="9">
        <v>105</v>
      </c>
      <c r="FU10" s="33">
        <f t="shared" si="84"/>
        <v>9.375E-2</v>
      </c>
      <c r="FV10" s="9">
        <v>8</v>
      </c>
      <c r="FW10" s="35">
        <f t="shared" si="86"/>
        <v>0</v>
      </c>
      <c r="FX10" s="9">
        <v>96</v>
      </c>
      <c r="FY10" s="11">
        <v>8</v>
      </c>
    </row>
    <row r="11" spans="2:181" x14ac:dyDescent="0.2">
      <c r="B11" s="24" t="s">
        <v>4</v>
      </c>
      <c r="C11" s="25">
        <v>5442</v>
      </c>
      <c r="D11" s="27">
        <f t="shared" si="0"/>
        <v>4.332822085889565E-2</v>
      </c>
      <c r="E11" s="25">
        <v>531</v>
      </c>
      <c r="F11" s="27">
        <f t="shared" si="1"/>
        <v>1.8867924528302993E-3</v>
      </c>
      <c r="G11" s="25">
        <v>5216</v>
      </c>
      <c r="H11" s="26">
        <f t="shared" si="2"/>
        <v>4.382629577746644E-2</v>
      </c>
      <c r="I11" s="25">
        <v>530</v>
      </c>
      <c r="J11" s="26">
        <f t="shared" si="3"/>
        <v>5.6925996204932883E-3</v>
      </c>
      <c r="K11" s="25">
        <v>4997</v>
      </c>
      <c r="L11" s="29">
        <f t="shared" si="4"/>
        <v>5.555555555555558E-2</v>
      </c>
      <c r="M11" s="25">
        <v>527</v>
      </c>
      <c r="N11" s="29">
        <f t="shared" si="5"/>
        <v>1.1516314779270731E-2</v>
      </c>
      <c r="O11" s="25">
        <v>4734</v>
      </c>
      <c r="P11" s="26">
        <f t="shared" si="6"/>
        <v>3.1597297886249764E-2</v>
      </c>
      <c r="Q11" s="25">
        <f>394+127</f>
        <v>521</v>
      </c>
      <c r="R11" s="26">
        <f t="shared" si="7"/>
        <v>5.791505791505891E-3</v>
      </c>
      <c r="S11" s="25">
        <v>4589</v>
      </c>
      <c r="T11" s="29">
        <f t="shared" si="70"/>
        <v>3.4024335286164886E-2</v>
      </c>
      <c r="U11" s="25">
        <f>392+126</f>
        <v>518</v>
      </c>
      <c r="V11" s="29">
        <f t="shared" si="8"/>
        <v>9.74658869395717E-3</v>
      </c>
      <c r="W11" s="25">
        <v>4438</v>
      </c>
      <c r="X11" s="27">
        <f t="shared" si="71"/>
        <v>3.3775914279059016E-2</v>
      </c>
      <c r="Y11" s="25">
        <v>513</v>
      </c>
      <c r="Z11" s="26">
        <f t="shared" si="9"/>
        <v>3.9138943248533398E-3</v>
      </c>
      <c r="AA11" s="25">
        <v>4293</v>
      </c>
      <c r="AB11" s="27">
        <f t="shared" si="72"/>
        <v>5.3755522827687807E-2</v>
      </c>
      <c r="AC11" s="25">
        <v>511</v>
      </c>
      <c r="AD11" s="28">
        <f t="shared" si="10"/>
        <v>4.2857142857142927E-2</v>
      </c>
      <c r="AE11" s="25">
        <v>4074</v>
      </c>
      <c r="AF11" s="38">
        <f t="shared" si="73"/>
        <v>6.7889908256880682E-2</v>
      </c>
      <c r="AG11" s="25">
        <v>490</v>
      </c>
      <c r="AH11" s="29">
        <f t="shared" si="11"/>
        <v>1.0309278350515427E-2</v>
      </c>
      <c r="AI11" s="25">
        <v>3815</v>
      </c>
      <c r="AJ11" s="28">
        <f t="shared" si="74"/>
        <v>8.8445078459343796E-2</v>
      </c>
      <c r="AK11" s="25">
        <v>485</v>
      </c>
      <c r="AL11" s="26">
        <f t="shared" si="12"/>
        <v>8.3160083160083165E-3</v>
      </c>
      <c r="AM11" s="7">
        <v>3505</v>
      </c>
      <c r="AN11" s="28">
        <f t="shared" si="75"/>
        <v>6.6321874049285023E-2</v>
      </c>
      <c r="AO11" s="1">
        <v>481</v>
      </c>
      <c r="AP11" s="28">
        <f t="shared" si="13"/>
        <v>2.5586353944562878E-2</v>
      </c>
      <c r="AQ11" s="1">
        <v>3287</v>
      </c>
      <c r="AR11" s="29">
        <f t="shared" si="14"/>
        <v>3.4298300818124572E-2</v>
      </c>
      <c r="AS11" s="1">
        <v>469</v>
      </c>
      <c r="AT11" s="29">
        <f t="shared" si="15"/>
        <v>2.1367521367521292E-3</v>
      </c>
      <c r="AU11" s="1">
        <v>3178</v>
      </c>
      <c r="AV11" s="27">
        <f t="shared" si="16"/>
        <v>3.1818181818181746E-2</v>
      </c>
      <c r="AW11" s="1">
        <v>468</v>
      </c>
      <c r="AX11" s="27">
        <f t="shared" si="17"/>
        <v>0</v>
      </c>
      <c r="AY11" s="1">
        <v>3080</v>
      </c>
      <c r="AZ11" s="27">
        <f t="shared" si="18"/>
        <v>3.4251175285426427E-2</v>
      </c>
      <c r="BA11" s="1">
        <v>468</v>
      </c>
      <c r="BB11" s="26">
        <f t="shared" si="19"/>
        <v>2.1413276231263545E-3</v>
      </c>
      <c r="BC11" s="1">
        <v>2978</v>
      </c>
      <c r="BD11" s="30">
        <f t="shared" si="20"/>
        <v>5.5155875299760293E-2</v>
      </c>
      <c r="BE11" s="1">
        <v>467</v>
      </c>
      <c r="BF11" s="32">
        <f t="shared" si="21"/>
        <v>1.5217391304347849E-2</v>
      </c>
      <c r="BG11" s="1">
        <v>2919</v>
      </c>
      <c r="BH11" s="31">
        <f t="shared" si="22"/>
        <v>2.7816901408450612E-2</v>
      </c>
      <c r="BI11" s="1">
        <v>460</v>
      </c>
      <c r="BJ11" s="33">
        <f t="shared" si="23"/>
        <v>1.098901098901095E-2</v>
      </c>
      <c r="BK11" s="1">
        <v>2840</v>
      </c>
      <c r="BL11" s="31">
        <f t="shared" si="24"/>
        <v>3.3478893740902516E-2</v>
      </c>
      <c r="BM11" s="1">
        <v>455</v>
      </c>
      <c r="BN11" s="30">
        <f t="shared" si="25"/>
        <v>6.6371681415928752E-3</v>
      </c>
      <c r="BO11" s="1">
        <v>2748</v>
      </c>
      <c r="BP11" s="33">
        <f t="shared" si="26"/>
        <v>3.5028248587570587E-2</v>
      </c>
      <c r="BQ11" s="1">
        <v>452</v>
      </c>
      <c r="BR11" s="31">
        <f t="shared" si="27"/>
        <v>8.9285714285713969E-3</v>
      </c>
      <c r="BS11" s="1">
        <v>2655</v>
      </c>
      <c r="BT11" s="31">
        <f t="shared" si="28"/>
        <v>2.6682134570765736E-2</v>
      </c>
      <c r="BU11" s="1">
        <f>329+119</f>
        <v>448</v>
      </c>
      <c r="BV11" s="33">
        <f t="shared" si="29"/>
        <v>2.2831050228310446E-2</v>
      </c>
      <c r="BW11" s="1">
        <v>2586</v>
      </c>
      <c r="BX11" s="32">
        <f t="shared" si="30"/>
        <v>2.7821939586645472E-2</v>
      </c>
      <c r="BY11" s="1">
        <v>438</v>
      </c>
      <c r="BZ11" s="31">
        <f t="shared" si="31"/>
        <v>9.2165898617511122E-3</v>
      </c>
      <c r="CA11" s="1">
        <v>2516</v>
      </c>
      <c r="CB11" s="32">
        <f t="shared" si="32"/>
        <v>2.1933387489845746E-2</v>
      </c>
      <c r="CC11" s="1">
        <f>315+119</f>
        <v>434</v>
      </c>
      <c r="CD11" s="32">
        <f t="shared" si="33"/>
        <v>1.6393442622950838E-2</v>
      </c>
      <c r="CE11" s="1">
        <v>2462</v>
      </c>
      <c r="CF11" s="33">
        <f t="shared" si="34"/>
        <v>1.988400994200501E-2</v>
      </c>
      <c r="CG11" s="1">
        <f>309+118</f>
        <v>427</v>
      </c>
      <c r="CH11" s="33">
        <f t="shared" si="35"/>
        <v>1.4251781472684133E-2</v>
      </c>
      <c r="CI11" s="1">
        <v>2414</v>
      </c>
      <c r="CJ11" s="31">
        <f t="shared" si="36"/>
        <v>1.7706576728499179E-2</v>
      </c>
      <c r="CK11" s="1">
        <v>421</v>
      </c>
      <c r="CL11" s="31">
        <f t="shared" si="37"/>
        <v>2.3809523809523725E-3</v>
      </c>
      <c r="CM11" s="1">
        <v>2372</v>
      </c>
      <c r="CN11" s="32">
        <f t="shared" si="38"/>
        <v>2.4179620034542326E-2</v>
      </c>
      <c r="CO11" s="1">
        <v>420</v>
      </c>
      <c r="CP11" s="32">
        <f t="shared" si="39"/>
        <v>0.16991643454039007</v>
      </c>
      <c r="CQ11" s="1">
        <v>2316</v>
      </c>
      <c r="CR11" s="32">
        <f t="shared" si="40"/>
        <v>2.2968197879858598E-2</v>
      </c>
      <c r="CS11" s="1">
        <f>295+64</f>
        <v>359</v>
      </c>
      <c r="CT11" s="33">
        <f t="shared" si="41"/>
        <v>8.4269662921347965E-3</v>
      </c>
      <c r="CU11" s="1">
        <v>2264</v>
      </c>
      <c r="CV11" s="33">
        <f t="shared" si="42"/>
        <v>2.2121896162528243E-2</v>
      </c>
      <c r="CW11" s="1">
        <f>292+64</f>
        <v>356</v>
      </c>
      <c r="CX11" s="30">
        <f t="shared" si="76"/>
        <v>5.6497175141243527E-3</v>
      </c>
      <c r="CY11" s="1">
        <v>2215</v>
      </c>
      <c r="CZ11" s="31">
        <f t="shared" si="43"/>
        <v>1.7922794117646967E-2</v>
      </c>
      <c r="DA11" s="1">
        <v>354</v>
      </c>
      <c r="DB11" s="30">
        <f t="shared" si="77"/>
        <v>2.6086956521739202E-2</v>
      </c>
      <c r="DC11" s="1">
        <v>2176</v>
      </c>
      <c r="DD11" s="33">
        <f t="shared" si="44"/>
        <v>4.0650406504065151E-2</v>
      </c>
      <c r="DE11" s="1">
        <v>345</v>
      </c>
      <c r="DF11" s="31">
        <f t="shared" si="78"/>
        <v>3.2934131736527039E-2</v>
      </c>
      <c r="DG11" s="1">
        <v>2091</v>
      </c>
      <c r="DH11" s="31">
        <f t="shared" si="45"/>
        <v>3.514851485148518E-2</v>
      </c>
      <c r="DI11" s="8">
        <v>334</v>
      </c>
      <c r="DJ11" s="32">
        <f t="shared" si="79"/>
        <v>0.27480916030534353</v>
      </c>
      <c r="DK11" s="34"/>
      <c r="DL11" s="8">
        <v>2020</v>
      </c>
      <c r="DM11" s="33">
        <f t="shared" si="46"/>
        <v>7.332624867162596E-2</v>
      </c>
      <c r="DN11" s="8">
        <v>262</v>
      </c>
      <c r="DO11" s="32">
        <f t="shared" si="47"/>
        <v>8.2644628099173501E-2</v>
      </c>
      <c r="DP11" s="9">
        <v>1882</v>
      </c>
      <c r="DQ11" s="30">
        <f t="shared" si="48"/>
        <v>6.6893424036281068E-2</v>
      </c>
      <c r="DR11" s="9">
        <v>242</v>
      </c>
      <c r="DS11" s="33">
        <f t="shared" si="49"/>
        <v>4.7619047619047672E-2</v>
      </c>
      <c r="DT11" s="9">
        <v>1764</v>
      </c>
      <c r="DU11" s="30">
        <f t="shared" si="50"/>
        <v>6.8443367655966147E-2</v>
      </c>
      <c r="DV11" s="9">
        <v>231</v>
      </c>
      <c r="DW11" s="30">
        <f t="shared" si="51"/>
        <v>1.3157894736842035E-2</v>
      </c>
      <c r="DX11" s="1">
        <v>1651</v>
      </c>
      <c r="DY11" s="31">
        <f t="shared" si="52"/>
        <v>0.12773224043715836</v>
      </c>
      <c r="DZ11" s="1">
        <v>228</v>
      </c>
      <c r="EA11" s="30">
        <f t="shared" si="53"/>
        <v>3.167420814479649E-2</v>
      </c>
      <c r="EB11" s="1">
        <v>1464</v>
      </c>
      <c r="EC11" s="32">
        <f t="shared" si="54"/>
        <v>0.16839584996009571</v>
      </c>
      <c r="ED11" s="1">
        <v>221</v>
      </c>
      <c r="EE11" s="31">
        <f t="shared" si="55"/>
        <v>8.8669950738916148E-2</v>
      </c>
      <c r="EF11" s="1">
        <v>1253</v>
      </c>
      <c r="EG11" s="33">
        <f t="shared" si="56"/>
        <v>0.13496376811594213</v>
      </c>
      <c r="EH11" s="1">
        <v>203</v>
      </c>
      <c r="EI11" s="32">
        <f t="shared" si="57"/>
        <v>9.7297297297297192E-2</v>
      </c>
      <c r="EJ11" s="1">
        <v>1104</v>
      </c>
      <c r="EK11" s="31">
        <f t="shared" si="58"/>
        <v>0.12653061224489792</v>
      </c>
      <c r="EL11" s="1">
        <v>185</v>
      </c>
      <c r="EM11" s="32">
        <f t="shared" si="59"/>
        <v>8.8235294117646967E-2</v>
      </c>
      <c r="EN11" s="1">
        <v>980</v>
      </c>
      <c r="EO11" s="33">
        <f t="shared" si="60"/>
        <v>0.19076549210206561</v>
      </c>
      <c r="EP11" s="1">
        <v>170</v>
      </c>
      <c r="EQ11" s="36">
        <f t="shared" si="61"/>
        <v>6.25E-2</v>
      </c>
      <c r="ER11" s="1">
        <v>823</v>
      </c>
      <c r="ES11" s="31">
        <f t="shared" si="62"/>
        <v>0.12431693989071047</v>
      </c>
      <c r="ET11" s="1">
        <v>160</v>
      </c>
      <c r="EU11" s="30">
        <f t="shared" si="63"/>
        <v>5.9602649006622599E-2</v>
      </c>
      <c r="EV11" s="1">
        <v>732</v>
      </c>
      <c r="EW11" s="33">
        <f t="shared" si="64"/>
        <v>0.18831168831168821</v>
      </c>
      <c r="EX11" s="1">
        <v>151</v>
      </c>
      <c r="EY11" s="35">
        <f t="shared" si="65"/>
        <v>8.6330935251798468E-2</v>
      </c>
      <c r="EZ11" s="1">
        <v>616</v>
      </c>
      <c r="FA11" s="30">
        <f t="shared" si="66"/>
        <v>0.13235294117647056</v>
      </c>
      <c r="FB11" s="1">
        <v>139</v>
      </c>
      <c r="FC11" s="32">
        <f t="shared" si="80"/>
        <v>0.10317460317460325</v>
      </c>
      <c r="FD11" s="8">
        <v>544</v>
      </c>
      <c r="FE11" s="35">
        <f t="shared" si="67"/>
        <v>0.14526315789473676</v>
      </c>
      <c r="FF11" s="8">
        <v>126</v>
      </c>
      <c r="FG11" s="33">
        <f t="shared" si="81"/>
        <v>7.6923076923076872E-2</v>
      </c>
      <c r="FH11" s="37">
        <v>475</v>
      </c>
      <c r="FI11" s="32">
        <f t="shared" si="82"/>
        <v>0.19346733668341698</v>
      </c>
      <c r="FJ11" s="37">
        <v>117</v>
      </c>
      <c r="FK11" s="30">
        <f t="shared" si="83"/>
        <v>7.3394495412844041E-2</v>
      </c>
      <c r="FL11" s="9">
        <v>398</v>
      </c>
      <c r="FM11" s="35">
        <f t="shared" si="83"/>
        <v>8.1521739130434812E-2</v>
      </c>
      <c r="FN11" s="9">
        <v>109</v>
      </c>
      <c r="FO11" s="30">
        <f t="shared" si="85"/>
        <v>9.000000000000008E-2</v>
      </c>
      <c r="FP11" s="9">
        <v>368</v>
      </c>
      <c r="FQ11" s="32">
        <f t="shared" si="68"/>
        <v>0.23076923076923084</v>
      </c>
      <c r="FR11" s="9">
        <v>100</v>
      </c>
      <c r="FS11" s="31">
        <f t="shared" si="69"/>
        <v>0.14942528735632177</v>
      </c>
      <c r="FT11" s="9">
        <v>299</v>
      </c>
      <c r="FU11" s="33">
        <f t="shared" si="84"/>
        <v>0.16796875</v>
      </c>
      <c r="FV11" s="9">
        <v>87</v>
      </c>
      <c r="FW11" s="33">
        <f t="shared" si="86"/>
        <v>0.31818181818181812</v>
      </c>
      <c r="FX11" s="9">
        <v>256</v>
      </c>
      <c r="FY11" s="11">
        <v>66</v>
      </c>
    </row>
    <row r="12" spans="2:181" s="5" customFormat="1" x14ac:dyDescent="0.2">
      <c r="B12" s="24" t="s">
        <v>5</v>
      </c>
      <c r="C12" s="25">
        <v>8485</v>
      </c>
      <c r="D12" s="27">
        <f t="shared" si="0"/>
        <v>1.836293807009115E-2</v>
      </c>
      <c r="E12" s="25">
        <v>480</v>
      </c>
      <c r="F12" s="27">
        <f t="shared" si="1"/>
        <v>4.1841004184099972E-3</v>
      </c>
      <c r="G12" s="25">
        <v>8332</v>
      </c>
      <c r="H12" s="26">
        <f t="shared" si="2"/>
        <v>2.5224560108281002E-2</v>
      </c>
      <c r="I12" s="25">
        <v>478</v>
      </c>
      <c r="J12" s="26">
        <f t="shared" si="3"/>
        <v>6.3157894736842746E-3</v>
      </c>
      <c r="K12" s="25">
        <v>8127</v>
      </c>
      <c r="L12" s="29">
        <f t="shared" si="4"/>
        <v>4.4333076329992283E-2</v>
      </c>
      <c r="M12" s="25">
        <f>388+87</f>
        <v>475</v>
      </c>
      <c r="N12" s="29">
        <f t="shared" si="5"/>
        <v>4.6255506607929542E-2</v>
      </c>
      <c r="O12" s="25">
        <v>7782</v>
      </c>
      <c r="P12" s="27">
        <f t="shared" si="6"/>
        <v>1.7920209287115796E-2</v>
      </c>
      <c r="Q12" s="25">
        <v>454</v>
      </c>
      <c r="R12" s="27">
        <f t="shared" si="7"/>
        <v>2.2522522522522515E-2</v>
      </c>
      <c r="S12" s="25">
        <v>7645</v>
      </c>
      <c r="T12" s="27">
        <f t="shared" si="70"/>
        <v>2.9213785675821224E-2</v>
      </c>
      <c r="U12" s="25">
        <f>363+81</f>
        <v>444</v>
      </c>
      <c r="V12" s="27">
        <f t="shared" si="8"/>
        <v>2.5404157043879882E-2</v>
      </c>
      <c r="W12" s="25">
        <v>7428</v>
      </c>
      <c r="X12" s="27">
        <f t="shared" si="71"/>
        <v>3.7140463557665537E-2</v>
      </c>
      <c r="Y12" s="25">
        <v>433</v>
      </c>
      <c r="Z12" s="27">
        <f t="shared" si="9"/>
        <v>2.6066350710900466E-2</v>
      </c>
      <c r="AA12" s="25">
        <v>7162</v>
      </c>
      <c r="AB12" s="27">
        <f t="shared" si="72"/>
        <v>4.7535468772853529E-2</v>
      </c>
      <c r="AC12" s="25">
        <v>422</v>
      </c>
      <c r="AD12" s="26">
        <f t="shared" si="10"/>
        <v>3.6855036855036882E-2</v>
      </c>
      <c r="AE12" s="25">
        <v>6837</v>
      </c>
      <c r="AF12" s="38">
        <f t="shared" si="73"/>
        <v>6.0328784119106693E-2</v>
      </c>
      <c r="AG12" s="25">
        <v>407</v>
      </c>
      <c r="AH12" s="28">
        <f t="shared" si="11"/>
        <v>4.0920716112532007E-2</v>
      </c>
      <c r="AI12" s="25">
        <v>6448</v>
      </c>
      <c r="AJ12" s="29">
        <f t="shared" si="74"/>
        <v>7.8260869565217384E-2</v>
      </c>
      <c r="AK12" s="25">
        <v>391</v>
      </c>
      <c r="AL12" s="28">
        <f t="shared" si="12"/>
        <v>2.6246719160105014E-2</v>
      </c>
      <c r="AM12" s="7">
        <v>5980</v>
      </c>
      <c r="AN12" s="26">
        <f t="shared" si="75"/>
        <v>3.819444444444442E-2</v>
      </c>
      <c r="AO12" s="5">
        <v>381</v>
      </c>
      <c r="AP12" s="29">
        <f t="shared" si="13"/>
        <v>1.0610079575596787E-2</v>
      </c>
      <c r="AQ12" s="5">
        <v>5760</v>
      </c>
      <c r="AR12" s="29">
        <f t="shared" si="14"/>
        <v>4.0462427745664664E-2</v>
      </c>
      <c r="AS12" s="5">
        <v>377</v>
      </c>
      <c r="AT12" s="27">
        <f t="shared" si="15"/>
        <v>5.3333333333334121E-3</v>
      </c>
      <c r="AU12" s="5">
        <v>5536</v>
      </c>
      <c r="AV12" s="27">
        <f t="shared" si="16"/>
        <v>2.2912047302291239E-2</v>
      </c>
      <c r="AW12" s="1">
        <v>375</v>
      </c>
      <c r="AX12" s="26">
        <f t="shared" si="17"/>
        <v>5.3619302949061698E-3</v>
      </c>
      <c r="AY12" s="1">
        <v>5412</v>
      </c>
      <c r="AZ12" s="27">
        <f t="shared" si="18"/>
        <v>2.6166097838452806E-2</v>
      </c>
      <c r="BA12" s="1">
        <v>373</v>
      </c>
      <c r="BB12" s="29">
        <f t="shared" si="19"/>
        <v>1.3586956521739024E-2</v>
      </c>
      <c r="BC12" s="5">
        <v>5274</v>
      </c>
      <c r="BD12" s="30">
        <f t="shared" si="20"/>
        <v>4.0969417195614533E-2</v>
      </c>
      <c r="BE12" s="5">
        <v>368</v>
      </c>
      <c r="BF12" s="31">
        <f t="shared" si="21"/>
        <v>0</v>
      </c>
      <c r="BG12" s="5">
        <v>5199</v>
      </c>
      <c r="BH12" s="31">
        <f t="shared" si="22"/>
        <v>2.1414538310412512E-2</v>
      </c>
      <c r="BI12" s="5">
        <v>368</v>
      </c>
      <c r="BJ12" s="33">
        <f t="shared" si="23"/>
        <v>2.5069637883008422E-2</v>
      </c>
      <c r="BK12" s="5">
        <v>5090</v>
      </c>
      <c r="BL12" s="31">
        <f t="shared" si="24"/>
        <v>2.5589361273423261E-2</v>
      </c>
      <c r="BM12" s="5">
        <f>296+63</f>
        <v>359</v>
      </c>
      <c r="BN12" s="30">
        <f t="shared" si="25"/>
        <v>8.4269662921347965E-3</v>
      </c>
      <c r="BO12" s="5">
        <v>4963</v>
      </c>
      <c r="BP12" s="32">
        <f t="shared" si="26"/>
        <v>3.654970760233911E-2</v>
      </c>
      <c r="BQ12" s="5">
        <v>356</v>
      </c>
      <c r="BR12" s="31">
        <f t="shared" si="27"/>
        <v>1.4245014245014342E-2</v>
      </c>
      <c r="BS12" s="5">
        <v>4788</v>
      </c>
      <c r="BT12" s="33">
        <f t="shared" si="28"/>
        <v>2.6586620926243532E-2</v>
      </c>
      <c r="BU12" s="5">
        <f>288+63</f>
        <v>351</v>
      </c>
      <c r="BV12" s="33">
        <f t="shared" si="29"/>
        <v>1.7391304347825987E-2</v>
      </c>
      <c r="BW12" s="5">
        <v>4664</v>
      </c>
      <c r="BX12" s="31">
        <f t="shared" si="30"/>
        <v>1.9453551912568257E-2</v>
      </c>
      <c r="BY12" s="5">
        <f>283+62</f>
        <v>345</v>
      </c>
      <c r="BZ12" s="31">
        <f t="shared" si="31"/>
        <v>8.7719298245614308E-3</v>
      </c>
      <c r="CA12" s="5">
        <v>4575</v>
      </c>
      <c r="CB12" s="32">
        <f t="shared" si="32"/>
        <v>5.0757923748277367E-2</v>
      </c>
      <c r="CC12" s="5">
        <f>281+61</f>
        <v>342</v>
      </c>
      <c r="CD12" s="30">
        <f t="shared" si="33"/>
        <v>1.1834319526627279E-2</v>
      </c>
      <c r="CE12" s="5">
        <v>4354</v>
      </c>
      <c r="CF12" s="33">
        <f t="shared" si="34"/>
        <v>3.0532544378698123E-2</v>
      </c>
      <c r="CG12" s="5">
        <f>277+61</f>
        <v>338</v>
      </c>
      <c r="CH12" s="31">
        <f t="shared" si="35"/>
        <v>2.4242424242424176E-2</v>
      </c>
      <c r="CI12" s="5">
        <v>4225</v>
      </c>
      <c r="CJ12" s="30">
        <f t="shared" si="36"/>
        <v>2.4987869966035969E-2</v>
      </c>
      <c r="CK12" s="5">
        <v>330</v>
      </c>
      <c r="CL12" s="33">
        <f t="shared" si="37"/>
        <v>0.11486486486486491</v>
      </c>
      <c r="CM12" s="5">
        <v>4122</v>
      </c>
      <c r="CN12" s="35">
        <f t="shared" si="38"/>
        <v>3.7503146237100493E-2</v>
      </c>
      <c r="CO12" s="5">
        <v>296</v>
      </c>
      <c r="CP12" s="32">
        <f t="shared" si="39"/>
        <v>7.2463768115942129E-2</v>
      </c>
      <c r="CQ12" s="5">
        <v>3973</v>
      </c>
      <c r="CR12" s="33">
        <f t="shared" si="40"/>
        <v>7.1467098166127396E-2</v>
      </c>
      <c r="CS12" s="5">
        <f>233+43</f>
        <v>276</v>
      </c>
      <c r="CT12" s="33">
        <f t="shared" si="41"/>
        <v>4.5454545454545414E-2</v>
      </c>
      <c r="CU12" s="5">
        <v>3708</v>
      </c>
      <c r="CV12" s="31">
        <f t="shared" si="42"/>
        <v>3.8946483608853999E-2</v>
      </c>
      <c r="CW12" s="5">
        <f>221+43</f>
        <v>264</v>
      </c>
      <c r="CX12" s="31">
        <f t="shared" si="76"/>
        <v>1.538461538461533E-2</v>
      </c>
      <c r="CY12" s="5">
        <v>3569</v>
      </c>
      <c r="CZ12" s="33">
        <f t="shared" si="43"/>
        <v>6.2202380952380842E-2</v>
      </c>
      <c r="DA12" s="5">
        <v>260</v>
      </c>
      <c r="DB12" s="33">
        <f t="shared" si="77"/>
        <v>2.3622047244094446E-2</v>
      </c>
      <c r="DC12" s="5">
        <v>3360</v>
      </c>
      <c r="DD12" s="31">
        <f t="shared" si="44"/>
        <v>4.2830540037243958E-2</v>
      </c>
      <c r="DE12" s="5">
        <v>254</v>
      </c>
      <c r="DF12" s="31">
        <f t="shared" si="78"/>
        <v>1.6000000000000014E-2</v>
      </c>
      <c r="DG12" s="5">
        <v>3222</v>
      </c>
      <c r="DH12" s="33">
        <f t="shared" si="45"/>
        <v>7.3284477015323146E-2</v>
      </c>
      <c r="DI12" s="8">
        <v>250</v>
      </c>
      <c r="DJ12" s="33">
        <f t="shared" si="79"/>
        <v>0.23152709359605916</v>
      </c>
      <c r="DK12" s="34"/>
      <c r="DL12" s="8">
        <v>3002</v>
      </c>
      <c r="DM12" s="31">
        <f t="shared" si="46"/>
        <v>4.9283467319119145E-2</v>
      </c>
      <c r="DN12" s="8">
        <v>203</v>
      </c>
      <c r="DO12" s="31">
        <f t="shared" si="47"/>
        <v>4.6391752577319645E-2</v>
      </c>
      <c r="DP12" s="8">
        <v>2861</v>
      </c>
      <c r="DQ12" s="33">
        <f t="shared" si="48"/>
        <v>9.9116404149058868E-2</v>
      </c>
      <c r="DR12" s="8">
        <v>194</v>
      </c>
      <c r="DS12" s="32">
        <f t="shared" si="49"/>
        <v>6.5934065934065922E-2</v>
      </c>
      <c r="DT12" s="8">
        <v>2603</v>
      </c>
      <c r="DU12" s="31">
        <f t="shared" si="50"/>
        <v>8.9577228966094546E-2</v>
      </c>
      <c r="DV12" s="8">
        <v>182</v>
      </c>
      <c r="DW12" s="33">
        <f t="shared" si="51"/>
        <v>5.2023121387283267E-2</v>
      </c>
      <c r="DX12" s="5">
        <v>2389</v>
      </c>
      <c r="DY12" s="33">
        <f t="shared" si="52"/>
        <v>0.12054409005628508</v>
      </c>
      <c r="DZ12" s="5">
        <v>173</v>
      </c>
      <c r="EA12" s="30">
        <f t="shared" si="53"/>
        <v>2.9761904761904656E-2</v>
      </c>
      <c r="EB12" s="5">
        <v>2132</v>
      </c>
      <c r="EC12" s="31">
        <f t="shared" si="54"/>
        <v>0.10409114448472301</v>
      </c>
      <c r="ED12" s="5">
        <v>168</v>
      </c>
      <c r="EE12" s="30">
        <f t="shared" si="55"/>
        <v>3.7037037037036979E-2</v>
      </c>
      <c r="EF12" s="5">
        <v>1931</v>
      </c>
      <c r="EG12" s="33">
        <f t="shared" si="56"/>
        <v>0.18321078431372539</v>
      </c>
      <c r="EH12" s="5">
        <v>162</v>
      </c>
      <c r="EI12" s="31">
        <f t="shared" si="57"/>
        <v>6.578947368421062E-2</v>
      </c>
      <c r="EJ12" s="5">
        <v>1632</v>
      </c>
      <c r="EK12" s="30">
        <f t="shared" si="58"/>
        <v>0.10869565217391308</v>
      </c>
      <c r="EL12" s="5">
        <v>152</v>
      </c>
      <c r="EM12" s="36">
        <f t="shared" si="59"/>
        <v>9.3525179856115193E-2</v>
      </c>
      <c r="EN12" s="5">
        <v>1472</v>
      </c>
      <c r="EO12" s="30">
        <f t="shared" si="60"/>
        <v>0.1909385113268609</v>
      </c>
      <c r="EP12" s="5">
        <v>139</v>
      </c>
      <c r="EQ12" s="30">
        <f t="shared" si="61"/>
        <v>6.9230769230769207E-2</v>
      </c>
      <c r="ER12" s="5">
        <v>1236</v>
      </c>
      <c r="ES12" s="31">
        <f t="shared" si="62"/>
        <v>0.19305019305019311</v>
      </c>
      <c r="ET12" s="5">
        <v>130</v>
      </c>
      <c r="EU12" s="30">
        <f t="shared" si="63"/>
        <v>0.1206896551724137</v>
      </c>
      <c r="EV12" s="5">
        <v>1036</v>
      </c>
      <c r="EW12" s="33">
        <f t="shared" si="64"/>
        <v>0.20325203252032531</v>
      </c>
      <c r="EX12" s="5">
        <v>116</v>
      </c>
      <c r="EY12" s="35">
        <f t="shared" si="65"/>
        <v>0.14851485148514842</v>
      </c>
      <c r="EZ12" s="5">
        <v>861</v>
      </c>
      <c r="FA12" s="30">
        <f t="shared" si="66"/>
        <v>0.14799999999999991</v>
      </c>
      <c r="FB12" s="5">
        <v>101</v>
      </c>
      <c r="FC12" s="32">
        <f t="shared" si="80"/>
        <v>0.48529411764705888</v>
      </c>
      <c r="FD12" s="25">
        <v>750</v>
      </c>
      <c r="FE12" s="35">
        <f t="shared" si="67"/>
        <v>0.34408602150537626</v>
      </c>
      <c r="FF12" s="25">
        <v>68</v>
      </c>
      <c r="FG12" s="33">
        <f t="shared" si="81"/>
        <v>0.1333333333333333</v>
      </c>
      <c r="FH12" s="37">
        <v>558</v>
      </c>
      <c r="FI12" s="32">
        <f t="shared" si="82"/>
        <v>0.41265822784810124</v>
      </c>
      <c r="FJ12" s="37">
        <v>60</v>
      </c>
      <c r="FK12" s="31">
        <f t="shared" si="83"/>
        <v>0.11111111111111116</v>
      </c>
      <c r="FL12" s="8">
        <v>395</v>
      </c>
      <c r="FM12" s="31">
        <f t="shared" si="83"/>
        <v>0.20060790273556228</v>
      </c>
      <c r="FN12" s="8">
        <v>54</v>
      </c>
      <c r="FO12" s="31">
        <f t="shared" si="85"/>
        <v>0.17391304347826098</v>
      </c>
      <c r="FP12" s="8">
        <v>329</v>
      </c>
      <c r="FQ12" s="32">
        <f t="shared" si="68"/>
        <v>0.43043478260869561</v>
      </c>
      <c r="FR12" s="8">
        <v>46</v>
      </c>
      <c r="FS12" s="32">
        <f t="shared" si="69"/>
        <v>0.21052631578947367</v>
      </c>
      <c r="FT12" s="8">
        <v>230</v>
      </c>
      <c r="FU12" s="33">
        <f t="shared" si="84"/>
        <v>0.36904761904761907</v>
      </c>
      <c r="FV12" s="8">
        <v>38</v>
      </c>
      <c r="FW12" s="33">
        <f t="shared" si="86"/>
        <v>5.555555555555558E-2</v>
      </c>
      <c r="FX12" s="8">
        <v>168</v>
      </c>
      <c r="FY12" s="39">
        <v>36</v>
      </c>
    </row>
    <row r="13" spans="2:181" x14ac:dyDescent="0.2">
      <c r="B13" s="40" t="s">
        <v>35</v>
      </c>
      <c r="C13" s="25">
        <v>13825</v>
      </c>
      <c r="D13" s="26">
        <f t="shared" si="0"/>
        <v>3.9395534170363122E-2</v>
      </c>
      <c r="E13" s="25">
        <v>955</v>
      </c>
      <c r="F13" s="29">
        <f t="shared" si="1"/>
        <v>1.1652542372881269E-2</v>
      </c>
      <c r="G13" s="25">
        <v>13301</v>
      </c>
      <c r="H13" s="29">
        <f t="shared" si="2"/>
        <v>5.3544554455445592E-2</v>
      </c>
      <c r="I13" s="25">
        <v>944</v>
      </c>
      <c r="J13" s="27">
        <f t="shared" si="3"/>
        <v>6.3965884861407751E-3</v>
      </c>
      <c r="K13" s="25">
        <v>12625</v>
      </c>
      <c r="L13" s="29">
        <f t="shared" si="4"/>
        <v>4.6155120981107078E-2</v>
      </c>
      <c r="M13" s="25">
        <v>938</v>
      </c>
      <c r="N13" s="26">
        <f t="shared" si="5"/>
        <v>9.687836383207804E-3</v>
      </c>
      <c r="O13" s="25">
        <v>12068</v>
      </c>
      <c r="P13" s="26">
        <f t="shared" si="6"/>
        <v>4.0344827586206833E-2</v>
      </c>
      <c r="Q13" s="25">
        <v>929</v>
      </c>
      <c r="R13" s="28">
        <f t="shared" si="7"/>
        <v>5.0904977375565652E-2</v>
      </c>
      <c r="S13" s="25">
        <v>11600</v>
      </c>
      <c r="T13" s="29">
        <f t="shared" si="70"/>
        <v>5.6562528463430128E-2</v>
      </c>
      <c r="U13" s="25">
        <f>668+216</f>
        <v>884</v>
      </c>
      <c r="V13" s="29">
        <f t="shared" si="8"/>
        <v>2.7906976744185963E-2</v>
      </c>
      <c r="W13" s="25">
        <v>10979</v>
      </c>
      <c r="X13" s="27">
        <f t="shared" si="71"/>
        <v>4.5917881299418983E-2</v>
      </c>
      <c r="Y13" s="25">
        <v>860</v>
      </c>
      <c r="Z13" s="27">
        <f t="shared" si="9"/>
        <v>1.8957345971563955E-2</v>
      </c>
      <c r="AA13" s="25">
        <v>10497</v>
      </c>
      <c r="AB13" s="27">
        <f t="shared" si="72"/>
        <v>4.854659874138445E-2</v>
      </c>
      <c r="AC13" s="25">
        <v>844</v>
      </c>
      <c r="AD13" s="26">
        <f t="shared" si="10"/>
        <v>2.5516403402187082E-2</v>
      </c>
      <c r="AE13" s="25">
        <v>10011</v>
      </c>
      <c r="AF13" s="38">
        <f t="shared" si="73"/>
        <v>5.7574477075850394E-2</v>
      </c>
      <c r="AG13" s="25">
        <v>823</v>
      </c>
      <c r="AH13" s="28">
        <f t="shared" si="11"/>
        <v>3.3919597989949812E-2</v>
      </c>
      <c r="AI13" s="25">
        <v>9466</v>
      </c>
      <c r="AJ13" s="28">
        <f t="shared" si="74"/>
        <v>6.6952209197475243E-2</v>
      </c>
      <c r="AK13" s="25">
        <v>796</v>
      </c>
      <c r="AL13" s="29">
        <f t="shared" si="12"/>
        <v>1.2722646310432628E-2</v>
      </c>
      <c r="AM13" s="7">
        <v>8872</v>
      </c>
      <c r="AN13" s="28">
        <f t="shared" si="75"/>
        <v>5.1433989096942412E-2</v>
      </c>
      <c r="AO13" s="5">
        <v>786</v>
      </c>
      <c r="AP13" s="26">
        <f t="shared" si="13"/>
        <v>8.9858793324775199E-3</v>
      </c>
      <c r="AQ13" s="5">
        <v>8438</v>
      </c>
      <c r="AR13" s="29">
        <f t="shared" si="14"/>
        <v>3.4956457745615177E-2</v>
      </c>
      <c r="AS13" s="5">
        <v>779</v>
      </c>
      <c r="AT13" s="29">
        <f t="shared" si="15"/>
        <v>1.8300653594771177E-2</v>
      </c>
      <c r="AU13" s="5">
        <v>8153</v>
      </c>
      <c r="AV13" s="27">
        <f t="shared" si="16"/>
        <v>2.1039448966812868E-2</v>
      </c>
      <c r="AW13" s="1">
        <v>765</v>
      </c>
      <c r="AX13" s="26">
        <f t="shared" si="17"/>
        <v>6.5789473684210176E-3</v>
      </c>
      <c r="AY13" s="1">
        <v>7985</v>
      </c>
      <c r="AZ13" s="26">
        <f t="shared" si="18"/>
        <v>3.2988357050452777E-2</v>
      </c>
      <c r="BA13" s="1">
        <v>760</v>
      </c>
      <c r="BB13" s="29">
        <f t="shared" si="19"/>
        <v>1.0638297872340496E-2</v>
      </c>
      <c r="BC13" s="5">
        <v>7730</v>
      </c>
      <c r="BD13" s="33">
        <f t="shared" si="20"/>
        <v>5.8878132873624089E-2</v>
      </c>
      <c r="BE13" s="5">
        <v>752</v>
      </c>
      <c r="BF13" s="30">
        <f t="shared" si="21"/>
        <v>2.666666666666595E-3</v>
      </c>
      <c r="BG13" s="5">
        <v>7541</v>
      </c>
      <c r="BH13" s="31">
        <f t="shared" si="22"/>
        <v>2.4314045096441195E-2</v>
      </c>
      <c r="BI13" s="5">
        <v>750</v>
      </c>
      <c r="BJ13" s="31">
        <f t="shared" si="23"/>
        <v>1.3513513513513598E-2</v>
      </c>
      <c r="BK13" s="5">
        <v>7362</v>
      </c>
      <c r="BL13" s="32">
        <f t="shared" si="24"/>
        <v>4.0859606956030081E-2</v>
      </c>
      <c r="BM13" s="5">
        <f>548+192</f>
        <v>740</v>
      </c>
      <c r="BN13" s="32">
        <f t="shared" si="25"/>
        <v>4.6676096181046622E-2</v>
      </c>
      <c r="BO13" s="5">
        <v>7073</v>
      </c>
      <c r="BP13" s="31">
        <f t="shared" si="26"/>
        <v>2.9548762736535616E-2</v>
      </c>
      <c r="BQ13" s="5">
        <v>707</v>
      </c>
      <c r="BR13" s="33">
        <f t="shared" si="27"/>
        <v>2.761627906976738E-2</v>
      </c>
      <c r="BS13" s="5">
        <v>6870</v>
      </c>
      <c r="BT13" s="33">
        <f t="shared" si="28"/>
        <v>4.4549186559221576E-2</v>
      </c>
      <c r="BU13" s="5">
        <f>502+186</f>
        <v>688</v>
      </c>
      <c r="BV13" s="31">
        <f t="shared" si="29"/>
        <v>1.1764705882352899E-2</v>
      </c>
      <c r="BW13" s="5">
        <v>6577</v>
      </c>
      <c r="BX13" s="30">
        <f t="shared" si="30"/>
        <v>1.5439246564767695E-2</v>
      </c>
      <c r="BY13" s="5">
        <f>494+186</f>
        <v>680</v>
      </c>
      <c r="BZ13" s="32">
        <f t="shared" si="31"/>
        <v>4.4546850998463894E-2</v>
      </c>
      <c r="CA13" s="5">
        <v>6477</v>
      </c>
      <c r="CB13" s="31">
        <f t="shared" si="32"/>
        <v>2.8911834789515423E-2</v>
      </c>
      <c r="CC13" s="5">
        <f>466+185</f>
        <v>651</v>
      </c>
      <c r="CD13" s="33">
        <f t="shared" si="33"/>
        <v>3.6624203821655987E-2</v>
      </c>
      <c r="CE13" s="5">
        <v>6295</v>
      </c>
      <c r="CF13" s="33">
        <f t="shared" si="34"/>
        <v>4.4293297942932908E-2</v>
      </c>
      <c r="CG13" s="5">
        <f>445+183</f>
        <v>628</v>
      </c>
      <c r="CH13" s="31">
        <f t="shared" si="35"/>
        <v>1.6181229773462702E-2</v>
      </c>
      <c r="CI13" s="5">
        <v>6028</v>
      </c>
      <c r="CJ13" s="30">
        <f t="shared" si="36"/>
        <v>3.3430481741813844E-2</v>
      </c>
      <c r="CK13" s="5">
        <f>437+181</f>
        <v>618</v>
      </c>
      <c r="CL13" s="33">
        <f t="shared" si="37"/>
        <v>5.1020408163265252E-2</v>
      </c>
      <c r="CM13" s="5">
        <v>5833</v>
      </c>
      <c r="CN13" s="35">
        <f t="shared" si="38"/>
        <v>3.421985815602846E-2</v>
      </c>
      <c r="CO13" s="5">
        <v>588</v>
      </c>
      <c r="CP13" s="31">
        <f t="shared" si="39"/>
        <v>4.2553191489361764E-2</v>
      </c>
      <c r="CQ13" s="5">
        <v>5640</v>
      </c>
      <c r="CR13" s="33">
        <f t="shared" si="40"/>
        <v>4.7937569676700154E-2</v>
      </c>
      <c r="CS13" s="5">
        <f>417+147</f>
        <v>564</v>
      </c>
      <c r="CT13" s="32">
        <f t="shared" si="41"/>
        <v>0.11683168316831694</v>
      </c>
      <c r="CU13" s="5">
        <v>5382</v>
      </c>
      <c r="CV13" s="30">
        <f t="shared" si="42"/>
        <v>1.9897669130187534E-2</v>
      </c>
      <c r="CW13" s="5">
        <v>505</v>
      </c>
      <c r="CX13" s="33">
        <f t="shared" si="76"/>
        <v>1.6096579476861272E-2</v>
      </c>
      <c r="CY13" s="5">
        <v>5277</v>
      </c>
      <c r="CZ13" s="31">
        <f t="shared" si="43"/>
        <v>4.4330100930140448E-2</v>
      </c>
      <c r="DA13" s="5">
        <v>497</v>
      </c>
      <c r="DB13" s="30">
        <f t="shared" si="77"/>
        <v>8.113590263691739E-3</v>
      </c>
      <c r="DC13" s="5">
        <v>5053</v>
      </c>
      <c r="DD13" s="31">
        <f t="shared" si="44"/>
        <v>7.3507541958784728E-2</v>
      </c>
      <c r="DE13" s="5">
        <v>493</v>
      </c>
      <c r="DF13" s="31">
        <f t="shared" si="78"/>
        <v>3.7894736842105203E-2</v>
      </c>
      <c r="DG13" s="5">
        <v>4707</v>
      </c>
      <c r="DH13" s="32">
        <f t="shared" si="45"/>
        <v>7.5639853747714758E-2</v>
      </c>
      <c r="DI13" s="8">
        <v>475</v>
      </c>
      <c r="DJ13" s="33">
        <f t="shared" si="79"/>
        <v>0.30494505494505497</v>
      </c>
      <c r="DK13" s="34"/>
      <c r="DL13" s="8">
        <v>4376</v>
      </c>
      <c r="DM13" s="33">
        <f t="shared" si="46"/>
        <v>6.6536680477699228E-2</v>
      </c>
      <c r="DN13" s="8">
        <v>364</v>
      </c>
      <c r="DO13" s="31">
        <f t="shared" si="47"/>
        <v>2.2471910112359605E-2</v>
      </c>
      <c r="DP13" s="8">
        <v>4103</v>
      </c>
      <c r="DQ13" s="30">
        <f t="shared" si="48"/>
        <v>6.020671834625313E-2</v>
      </c>
      <c r="DR13" s="8">
        <v>356</v>
      </c>
      <c r="DS13" s="32">
        <f t="shared" si="49"/>
        <v>2.5936599423631135E-2</v>
      </c>
      <c r="DT13" s="8">
        <v>3870</v>
      </c>
      <c r="DU13" s="30">
        <f t="shared" si="50"/>
        <v>7.8595317725752567E-2</v>
      </c>
      <c r="DV13" s="8">
        <v>347</v>
      </c>
      <c r="DW13" s="33">
        <f t="shared" si="51"/>
        <v>2.0588235294117574E-2</v>
      </c>
      <c r="DX13" s="5">
        <v>3588</v>
      </c>
      <c r="DY13" s="31">
        <f t="shared" si="52"/>
        <v>0.10467980295566504</v>
      </c>
      <c r="DZ13" s="5">
        <v>340</v>
      </c>
      <c r="EA13" s="30">
        <f t="shared" si="53"/>
        <v>1.7964071856287456E-2</v>
      </c>
      <c r="EB13" s="5">
        <v>3248</v>
      </c>
      <c r="EC13" s="33">
        <f t="shared" si="54"/>
        <v>0.11845730027548207</v>
      </c>
      <c r="ED13" s="5">
        <v>334</v>
      </c>
      <c r="EE13" s="31">
        <f t="shared" si="55"/>
        <v>2.7692307692307683E-2</v>
      </c>
      <c r="EF13" s="5">
        <v>2904</v>
      </c>
      <c r="EG13" s="31">
        <f t="shared" si="56"/>
        <v>0.10586443259710587</v>
      </c>
      <c r="EH13" s="5">
        <v>325</v>
      </c>
      <c r="EI13" s="33">
        <f t="shared" si="57"/>
        <v>4.1666666666666741E-2</v>
      </c>
      <c r="EJ13" s="5">
        <v>2626</v>
      </c>
      <c r="EK13" s="32">
        <f t="shared" si="58"/>
        <v>0.1155480033984706</v>
      </c>
      <c r="EL13" s="5">
        <v>312</v>
      </c>
      <c r="EM13" s="35">
        <f t="shared" si="59"/>
        <v>2.2950819672131084E-2</v>
      </c>
      <c r="EN13" s="5">
        <v>2354</v>
      </c>
      <c r="EO13" s="33">
        <f t="shared" si="60"/>
        <v>8.3294983893235086E-2</v>
      </c>
      <c r="EP13" s="5">
        <v>305</v>
      </c>
      <c r="EQ13" s="32">
        <f t="shared" si="61"/>
        <v>0.10909090909090913</v>
      </c>
      <c r="ER13" s="5">
        <v>2173</v>
      </c>
      <c r="ES13" s="31">
        <f t="shared" si="62"/>
        <v>7.948335817188279E-2</v>
      </c>
      <c r="ET13" s="5">
        <v>275</v>
      </c>
      <c r="EU13" s="36">
        <f t="shared" si="63"/>
        <v>0.1088709677419355</v>
      </c>
      <c r="EV13" s="5">
        <v>2013</v>
      </c>
      <c r="EW13" s="31">
        <f t="shared" si="64"/>
        <v>0.14440022740193292</v>
      </c>
      <c r="EX13" s="5">
        <v>248</v>
      </c>
      <c r="EY13" s="30">
        <f t="shared" si="65"/>
        <v>3.3333333333333437E-2</v>
      </c>
      <c r="EZ13" s="5">
        <v>1759</v>
      </c>
      <c r="FA13" s="33">
        <f t="shared" si="66"/>
        <v>0.16182298546895635</v>
      </c>
      <c r="FB13" s="5">
        <v>240</v>
      </c>
      <c r="FC13" s="31">
        <f t="shared" si="80"/>
        <v>8.5972850678732948E-2</v>
      </c>
      <c r="FD13" s="8">
        <v>1514</v>
      </c>
      <c r="FE13" s="35">
        <f t="shared" si="67"/>
        <v>0.16015325670498082</v>
      </c>
      <c r="FF13" s="8">
        <v>221</v>
      </c>
      <c r="FG13" s="33">
        <f t="shared" si="81"/>
        <v>0.13917525773195871</v>
      </c>
      <c r="FH13" s="37">
        <v>1305</v>
      </c>
      <c r="FI13" s="32">
        <f t="shared" si="82"/>
        <v>0.19287020109689212</v>
      </c>
      <c r="FJ13" s="37">
        <v>194</v>
      </c>
      <c r="FK13" s="30">
        <f t="shared" si="83"/>
        <v>6.0109289617486406E-2</v>
      </c>
      <c r="FL13" s="9">
        <v>1094</v>
      </c>
      <c r="FM13" s="30">
        <f t="shared" si="83"/>
        <v>6.7317073170731767E-2</v>
      </c>
      <c r="FN13" s="9">
        <v>183</v>
      </c>
      <c r="FO13" s="30">
        <f t="shared" si="85"/>
        <v>0.11585365853658547</v>
      </c>
      <c r="FP13" s="9">
        <v>1025</v>
      </c>
      <c r="FQ13" s="31">
        <f t="shared" si="68"/>
        <v>0.11413043478260865</v>
      </c>
      <c r="FR13" s="9">
        <v>164</v>
      </c>
      <c r="FS13" s="31">
        <f t="shared" si="69"/>
        <v>0.13103448275862073</v>
      </c>
      <c r="FT13" s="9">
        <v>920</v>
      </c>
      <c r="FU13" s="33">
        <f t="shared" si="84"/>
        <v>0.36904761904761907</v>
      </c>
      <c r="FV13" s="9">
        <v>145</v>
      </c>
      <c r="FW13" s="33">
        <f t="shared" si="86"/>
        <v>0.27192982456140347</v>
      </c>
      <c r="FX13" s="9">
        <v>672</v>
      </c>
      <c r="FY13" s="11">
        <v>114</v>
      </c>
    </row>
    <row r="14" spans="2:181" x14ac:dyDescent="0.2">
      <c r="B14" s="40" t="s">
        <v>31</v>
      </c>
      <c r="C14" s="25">
        <v>6481</v>
      </c>
      <c r="D14" s="29">
        <f t="shared" si="0"/>
        <v>3.8621794871794846E-2</v>
      </c>
      <c r="E14" s="25">
        <v>336</v>
      </c>
      <c r="F14" s="26">
        <f t="shared" si="1"/>
        <v>2.9850746268655914E-3</v>
      </c>
      <c r="G14" s="25">
        <v>6240</v>
      </c>
      <c r="H14" s="26">
        <f t="shared" si="2"/>
        <v>2.6822445285502816E-2</v>
      </c>
      <c r="I14" s="25">
        <v>335</v>
      </c>
      <c r="J14" s="194">
        <f t="shared" si="3"/>
        <v>2.7607361963190247E-2</v>
      </c>
      <c r="K14" s="25">
        <v>6077</v>
      </c>
      <c r="L14" s="29">
        <f t="shared" si="4"/>
        <v>3.5264054514480447E-2</v>
      </c>
      <c r="M14" s="25">
        <v>326</v>
      </c>
      <c r="N14" s="29">
        <f t="shared" si="5"/>
        <v>1.5576323987538832E-2</v>
      </c>
      <c r="O14" s="25">
        <v>5870</v>
      </c>
      <c r="P14" s="26">
        <f t="shared" si="6"/>
        <v>2.3718172305545959E-2</v>
      </c>
      <c r="Q14" s="25">
        <f>264+57</f>
        <v>321</v>
      </c>
      <c r="R14" s="26">
        <f t="shared" si="7"/>
        <v>1.2618296529968376E-2</v>
      </c>
      <c r="S14" s="25">
        <v>5734</v>
      </c>
      <c r="T14" s="28">
        <f t="shared" si="70"/>
        <v>2.7782756766445704E-2</v>
      </c>
      <c r="U14" s="25">
        <v>317</v>
      </c>
      <c r="V14" s="29">
        <f t="shared" si="8"/>
        <v>4.6204620462046098E-2</v>
      </c>
      <c r="W14" s="25">
        <v>5579</v>
      </c>
      <c r="X14" s="29">
        <f t="shared" si="71"/>
        <v>2.3106546854942289E-2</v>
      </c>
      <c r="Y14" s="25">
        <v>303</v>
      </c>
      <c r="Z14" s="27">
        <f t="shared" si="9"/>
        <v>0</v>
      </c>
      <c r="AA14" s="25">
        <v>5453</v>
      </c>
      <c r="AB14" s="26">
        <f t="shared" si="72"/>
        <v>1.7160977429584001E-2</v>
      </c>
      <c r="AC14" s="25">
        <v>303</v>
      </c>
      <c r="AD14" s="26">
        <f t="shared" si="10"/>
        <v>3.3112582781456013E-3</v>
      </c>
      <c r="AE14" s="25">
        <v>5361</v>
      </c>
      <c r="AF14" s="28">
        <f t="shared" si="73"/>
        <v>2.4068767908309363E-2</v>
      </c>
      <c r="AG14" s="25">
        <v>302</v>
      </c>
      <c r="AH14" s="29">
        <f t="shared" si="11"/>
        <v>1.6835016835016869E-2</v>
      </c>
      <c r="AI14" s="25">
        <v>5235</v>
      </c>
      <c r="AJ14" s="28">
        <f t="shared" si="74"/>
        <v>2.0467836257309857E-2</v>
      </c>
      <c r="AK14" s="25">
        <v>297</v>
      </c>
      <c r="AL14" s="26">
        <f t="shared" si="12"/>
        <v>0</v>
      </c>
      <c r="AM14" s="7">
        <v>5130</v>
      </c>
      <c r="AN14" s="28">
        <f t="shared" si="75"/>
        <v>1.383399209486158E-2</v>
      </c>
      <c r="AO14" s="5">
        <v>297</v>
      </c>
      <c r="AP14" s="26">
        <f t="shared" si="13"/>
        <v>3.3783783783782884E-3</v>
      </c>
      <c r="AQ14" s="5">
        <v>5060</v>
      </c>
      <c r="AR14" s="29">
        <f t="shared" si="14"/>
        <v>8.5708590791309103E-3</v>
      </c>
      <c r="AS14" s="5">
        <v>296</v>
      </c>
      <c r="AT14" s="28">
        <f t="shared" si="15"/>
        <v>1.0238907849829282E-2</v>
      </c>
      <c r="AU14" s="5">
        <v>5017</v>
      </c>
      <c r="AV14" s="27">
        <f t="shared" si="16"/>
        <v>3.4000000000000696E-3</v>
      </c>
      <c r="AW14" s="1">
        <v>293</v>
      </c>
      <c r="AX14" s="29">
        <f t="shared" si="17"/>
        <v>6.8728522336769515E-3</v>
      </c>
      <c r="AY14" s="1">
        <v>5000</v>
      </c>
      <c r="AZ14" s="26">
        <f t="shared" si="18"/>
        <v>1.3171225937183451E-2</v>
      </c>
      <c r="BA14" s="1">
        <v>291</v>
      </c>
      <c r="BB14" s="27">
        <f t="shared" si="19"/>
        <v>0</v>
      </c>
      <c r="BC14" s="5">
        <v>4935</v>
      </c>
      <c r="BD14" s="33">
        <f t="shared" si="20"/>
        <v>2.6061974143238187E-2</v>
      </c>
      <c r="BE14" s="5">
        <v>291</v>
      </c>
      <c r="BF14" s="31">
        <f t="shared" si="21"/>
        <v>6.9204152249136008E-3</v>
      </c>
      <c r="BG14" s="5">
        <v>4873</v>
      </c>
      <c r="BH14" s="31">
        <f t="shared" si="22"/>
        <v>5.7791537667699622E-3</v>
      </c>
      <c r="BI14" s="5">
        <v>289</v>
      </c>
      <c r="BJ14" s="33">
        <f t="shared" si="23"/>
        <v>5.0909090909091015E-2</v>
      </c>
      <c r="BK14" s="5">
        <v>4845</v>
      </c>
      <c r="BL14" s="32">
        <f t="shared" si="24"/>
        <v>6.3199473337722134E-2</v>
      </c>
      <c r="BM14" s="5">
        <f>222+53</f>
        <v>275</v>
      </c>
      <c r="BN14" s="30">
        <f t="shared" si="25"/>
        <v>0</v>
      </c>
      <c r="BO14" s="5">
        <v>4557</v>
      </c>
      <c r="BP14" s="30">
        <f t="shared" si="26"/>
        <v>8.6321381142098197E-3</v>
      </c>
      <c r="BQ14" s="5">
        <v>275</v>
      </c>
      <c r="BR14" s="31">
        <f t="shared" si="27"/>
        <v>7.3260073260073E-3</v>
      </c>
      <c r="BS14" s="5">
        <v>4518</v>
      </c>
      <c r="BT14" s="31">
        <f t="shared" si="28"/>
        <v>2.402538531278342E-2</v>
      </c>
      <c r="BU14" s="5">
        <f>221+52</f>
        <v>273</v>
      </c>
      <c r="BV14" s="31">
        <f t="shared" si="29"/>
        <v>1.1111111111111072E-2</v>
      </c>
      <c r="BW14" s="5">
        <v>4412</v>
      </c>
      <c r="BX14" s="33">
        <f t="shared" si="30"/>
        <v>3.3013345820650963E-2</v>
      </c>
      <c r="BY14" s="5">
        <f>218+52</f>
        <v>270</v>
      </c>
      <c r="BZ14" s="33">
        <f t="shared" si="31"/>
        <v>1.1235955056179803E-2</v>
      </c>
      <c r="CA14" s="5">
        <v>4271</v>
      </c>
      <c r="CB14" s="30">
        <f t="shared" si="32"/>
        <v>2.6929550372685851E-2</v>
      </c>
      <c r="CC14" s="5">
        <v>267</v>
      </c>
      <c r="CD14" s="31">
        <f t="shared" si="33"/>
        <v>0</v>
      </c>
      <c r="CE14" s="5">
        <v>4159</v>
      </c>
      <c r="CF14" s="31">
        <f t="shared" si="34"/>
        <v>2.6913580246913593E-2</v>
      </c>
      <c r="CG14" s="5">
        <f>216+51</f>
        <v>267</v>
      </c>
      <c r="CH14" s="33">
        <f t="shared" si="35"/>
        <v>3.0888030888030826E-2</v>
      </c>
      <c r="CI14" s="5">
        <v>4050</v>
      </c>
      <c r="CJ14" s="33">
        <f t="shared" si="36"/>
        <v>4.9766718506998542E-2</v>
      </c>
      <c r="CK14" s="5">
        <v>259</v>
      </c>
      <c r="CL14" s="30">
        <f t="shared" si="37"/>
        <v>3.8759689922480689E-3</v>
      </c>
      <c r="CM14" s="5">
        <v>3858</v>
      </c>
      <c r="CN14" s="35">
        <f t="shared" si="38"/>
        <v>1.7673437087839527E-2</v>
      </c>
      <c r="CO14" s="5">
        <v>258</v>
      </c>
      <c r="CP14" s="33">
        <f t="shared" si="39"/>
        <v>6.1728395061728447E-2</v>
      </c>
      <c r="CQ14" s="5">
        <v>3791</v>
      </c>
      <c r="CR14" s="32">
        <f t="shared" si="40"/>
        <v>1.8264840182648401E-2</v>
      </c>
      <c r="CS14" s="5">
        <f>207+36</f>
        <v>243</v>
      </c>
      <c r="CT14" s="30">
        <f t="shared" si="41"/>
        <v>4.1322314049587749E-3</v>
      </c>
      <c r="CU14" s="5">
        <v>3723</v>
      </c>
      <c r="CV14" s="33">
        <f t="shared" si="42"/>
        <v>1.2234910277324706E-2</v>
      </c>
      <c r="CW14" s="5">
        <v>242</v>
      </c>
      <c r="CX14" s="30">
        <f t="shared" si="76"/>
        <v>8.3333333333333037E-3</v>
      </c>
      <c r="CY14" s="5">
        <v>3678</v>
      </c>
      <c r="CZ14" s="31">
        <f t="shared" si="43"/>
        <v>1.0717230008244094E-2</v>
      </c>
      <c r="DA14" s="5">
        <v>240</v>
      </c>
      <c r="DB14" s="30">
        <f t="shared" si="77"/>
        <v>8.4033613445377853E-3</v>
      </c>
      <c r="DC14" s="5">
        <v>3639</v>
      </c>
      <c r="DD14" s="33">
        <f t="shared" si="44"/>
        <v>1.6196593130410442E-2</v>
      </c>
      <c r="DE14" s="5">
        <v>238</v>
      </c>
      <c r="DF14" s="31">
        <f t="shared" si="78"/>
        <v>8.4745762711864181E-3</v>
      </c>
      <c r="DG14" s="5">
        <v>3581</v>
      </c>
      <c r="DH14" s="31">
        <f t="shared" si="45"/>
        <v>1.0725373976855801E-2</v>
      </c>
      <c r="DI14" s="8">
        <v>236</v>
      </c>
      <c r="DJ14" s="32">
        <f t="shared" si="79"/>
        <v>0.17999999999999994</v>
      </c>
      <c r="DK14" s="34"/>
      <c r="DL14" s="8">
        <v>3543</v>
      </c>
      <c r="DM14" s="30">
        <f t="shared" si="46"/>
        <v>1.7518667432510071E-2</v>
      </c>
      <c r="DN14" s="8">
        <v>200</v>
      </c>
      <c r="DO14" s="33">
        <f t="shared" si="47"/>
        <v>2.0408163265306145E-2</v>
      </c>
      <c r="DP14" s="8">
        <v>3482</v>
      </c>
      <c r="DQ14" s="30">
        <f t="shared" si="48"/>
        <v>1.9619326500732059E-2</v>
      </c>
      <c r="DR14" s="8">
        <v>196</v>
      </c>
      <c r="DS14" s="30">
        <f t="shared" si="49"/>
        <v>1.5544041450777257E-2</v>
      </c>
      <c r="DT14" s="8">
        <v>3415</v>
      </c>
      <c r="DU14" s="30">
        <f t="shared" si="50"/>
        <v>2.7067669172932352E-2</v>
      </c>
      <c r="DV14" s="8">
        <v>193</v>
      </c>
      <c r="DW14" s="30">
        <f t="shared" si="51"/>
        <v>1.5789473684210575E-2</v>
      </c>
      <c r="DX14" s="5">
        <v>3325</v>
      </c>
      <c r="DY14" s="31">
        <f t="shared" si="52"/>
        <v>2.9093160012380048E-2</v>
      </c>
      <c r="DZ14" s="5">
        <v>190</v>
      </c>
      <c r="EA14" s="30">
        <f t="shared" si="53"/>
        <v>2.1505376344086002E-2</v>
      </c>
      <c r="EB14" s="5">
        <v>3231</v>
      </c>
      <c r="EC14" s="33">
        <f t="shared" si="54"/>
        <v>8.787878787878789E-2</v>
      </c>
      <c r="ED14" s="5">
        <v>186</v>
      </c>
      <c r="EE14" s="33">
        <f t="shared" si="55"/>
        <v>7.5144508670520249E-2</v>
      </c>
      <c r="EF14" s="5">
        <v>2970</v>
      </c>
      <c r="EG14" s="30">
        <f t="shared" si="56"/>
        <v>3.5564853556485421E-2</v>
      </c>
      <c r="EH14" s="5">
        <v>173</v>
      </c>
      <c r="EI14" s="30">
        <f t="shared" si="57"/>
        <v>2.3668639053254337E-2</v>
      </c>
      <c r="EJ14" s="5">
        <v>2868</v>
      </c>
      <c r="EK14" s="31">
        <f t="shared" si="58"/>
        <v>0.13674197384066589</v>
      </c>
      <c r="EL14" s="5">
        <v>169</v>
      </c>
      <c r="EM14" s="35">
        <f t="shared" si="59"/>
        <v>4.9689440993788914E-2</v>
      </c>
      <c r="EN14" s="5">
        <v>2523</v>
      </c>
      <c r="EO14" s="33">
        <f t="shared" si="60"/>
        <v>0.14318078840054382</v>
      </c>
      <c r="EP14" s="5">
        <v>161</v>
      </c>
      <c r="EQ14" s="36">
        <f t="shared" si="61"/>
        <v>0.1103448275862069</v>
      </c>
      <c r="ER14" s="5">
        <v>2207</v>
      </c>
      <c r="ES14" s="31">
        <f t="shared" si="62"/>
        <v>9.0415019762845938E-2</v>
      </c>
      <c r="ET14" s="5">
        <v>145</v>
      </c>
      <c r="EU14" s="30">
        <f t="shared" si="63"/>
        <v>5.0724637681159424E-2</v>
      </c>
      <c r="EV14" s="5">
        <v>2024</v>
      </c>
      <c r="EW14" s="33">
        <f t="shared" si="64"/>
        <v>0.17880023296447289</v>
      </c>
      <c r="EX14" s="5">
        <v>138</v>
      </c>
      <c r="EY14" s="35">
        <f t="shared" si="65"/>
        <v>6.9767441860465018E-2</v>
      </c>
      <c r="EZ14" s="5">
        <v>1717</v>
      </c>
      <c r="FA14" s="30">
        <f t="shared" si="66"/>
        <v>0.16170500676589983</v>
      </c>
      <c r="FB14" s="5">
        <v>129</v>
      </c>
      <c r="FC14" s="32">
        <f t="shared" si="80"/>
        <v>0.26470588235294112</v>
      </c>
      <c r="FD14" s="8">
        <v>1478</v>
      </c>
      <c r="FE14" s="30">
        <f t="shared" si="67"/>
        <v>0.31611754229741762</v>
      </c>
      <c r="FF14" s="8">
        <v>102</v>
      </c>
      <c r="FG14" s="35">
        <f t="shared" si="81"/>
        <v>7.3684210526315796E-2</v>
      </c>
      <c r="FH14" s="37">
        <v>1123</v>
      </c>
      <c r="FI14" s="30">
        <f t="shared" si="82"/>
        <v>0.318075117370892</v>
      </c>
      <c r="FJ14" s="37">
        <v>95</v>
      </c>
      <c r="FK14" s="33">
        <f t="shared" si="83"/>
        <v>0.1875</v>
      </c>
      <c r="FL14" s="9">
        <v>852</v>
      </c>
      <c r="FM14" s="30">
        <f t="shared" si="83"/>
        <v>0.33125000000000004</v>
      </c>
      <c r="FN14" s="9">
        <v>80</v>
      </c>
      <c r="FO14" s="30">
        <f t="shared" si="85"/>
        <v>0.12676056338028174</v>
      </c>
      <c r="FP14" s="9">
        <v>640</v>
      </c>
      <c r="FQ14" s="31">
        <f t="shared" si="68"/>
        <v>0.40350877192982448</v>
      </c>
      <c r="FR14" s="9">
        <v>71</v>
      </c>
      <c r="FS14" s="31">
        <f t="shared" si="69"/>
        <v>0.26785714285714279</v>
      </c>
      <c r="FT14" s="9">
        <v>456</v>
      </c>
      <c r="FU14" s="33">
        <f t="shared" si="84"/>
        <v>0.57241379310344831</v>
      </c>
      <c r="FV14" s="9">
        <v>56</v>
      </c>
      <c r="FW14" s="33">
        <f t="shared" si="86"/>
        <v>0.30232558139534893</v>
      </c>
      <c r="FX14" s="9">
        <v>290</v>
      </c>
      <c r="FY14" s="11">
        <v>43</v>
      </c>
    </row>
    <row r="15" spans="2:181" x14ac:dyDescent="0.2">
      <c r="B15" s="24" t="s">
        <v>6</v>
      </c>
      <c r="C15" s="25">
        <v>1322</v>
      </c>
      <c r="D15" s="27">
        <f t="shared" si="0"/>
        <v>3.7965072133636646E-3</v>
      </c>
      <c r="E15" s="25">
        <v>14</v>
      </c>
      <c r="F15" s="26">
        <f t="shared" si="1"/>
        <v>7.6923076923076872E-2</v>
      </c>
      <c r="G15" s="25">
        <v>1317</v>
      </c>
      <c r="H15" s="26">
        <f t="shared" si="2"/>
        <v>6.1115355233001267E-3</v>
      </c>
      <c r="I15" s="25">
        <v>13</v>
      </c>
      <c r="J15" s="29">
        <f t="shared" si="3"/>
        <v>8.3333333333333259E-2</v>
      </c>
      <c r="K15" s="25">
        <v>1309</v>
      </c>
      <c r="L15" s="29">
        <f t="shared" si="4"/>
        <v>1.4728682170542573E-2</v>
      </c>
      <c r="M15" s="25">
        <v>12</v>
      </c>
      <c r="N15" s="27">
        <f t="shared" si="5"/>
        <v>0</v>
      </c>
      <c r="O15" s="25">
        <v>1290</v>
      </c>
      <c r="P15" s="27">
        <f t="shared" si="6"/>
        <v>4.6728971962617383E-3</v>
      </c>
      <c r="Q15" s="25">
        <v>12</v>
      </c>
      <c r="R15" s="26">
        <f t="shared" si="7"/>
        <v>0</v>
      </c>
      <c r="S15" s="25">
        <v>1284</v>
      </c>
      <c r="T15" s="27">
        <f t="shared" si="70"/>
        <v>1.1023622047244164E-2</v>
      </c>
      <c r="U15" s="25">
        <v>12</v>
      </c>
      <c r="V15" s="29">
        <f t="shared" si="8"/>
        <v>9.0909090909090828E-2</v>
      </c>
      <c r="W15" s="25">
        <v>1270</v>
      </c>
      <c r="X15" s="27">
        <f t="shared" si="71"/>
        <v>1.8444266238973439E-2</v>
      </c>
      <c r="Y15" s="25">
        <v>11</v>
      </c>
      <c r="Z15" s="26">
        <f t="shared" si="9"/>
        <v>0</v>
      </c>
      <c r="AA15" s="25">
        <v>1247</v>
      </c>
      <c r="AB15" s="27">
        <f t="shared" si="72"/>
        <v>3.057851239669418E-2</v>
      </c>
      <c r="AC15" s="25">
        <v>11</v>
      </c>
      <c r="AD15" s="28">
        <f t="shared" si="10"/>
        <v>0.22222222222222232</v>
      </c>
      <c r="AE15" s="25">
        <v>1210</v>
      </c>
      <c r="AF15" s="38">
        <f t="shared" si="73"/>
        <v>6.3268892794376086E-2</v>
      </c>
      <c r="AG15" s="25">
        <v>9</v>
      </c>
      <c r="AH15" s="29">
        <f t="shared" si="11"/>
        <v>0.125</v>
      </c>
      <c r="AI15" s="25">
        <v>1138</v>
      </c>
      <c r="AJ15" s="28">
        <f t="shared" si="74"/>
        <v>0.15065722952477256</v>
      </c>
      <c r="AK15" s="25">
        <v>8</v>
      </c>
      <c r="AL15" s="27">
        <f t="shared" si="12"/>
        <v>0</v>
      </c>
      <c r="AM15" s="7">
        <v>989</v>
      </c>
      <c r="AN15" s="28">
        <f t="shared" si="75"/>
        <v>7.2668112798264684E-2</v>
      </c>
      <c r="AO15" s="5">
        <v>8</v>
      </c>
      <c r="AP15" s="26">
        <f t="shared" si="13"/>
        <v>0.14285714285714279</v>
      </c>
      <c r="AQ15" s="5">
        <v>922</v>
      </c>
      <c r="AR15" s="29">
        <f t="shared" si="14"/>
        <v>2.1040974529346723E-2</v>
      </c>
      <c r="AS15" s="5">
        <v>7</v>
      </c>
      <c r="AT15" s="29">
        <f t="shared" si="15"/>
        <v>0.16666666666666674</v>
      </c>
      <c r="AU15" s="5">
        <v>903</v>
      </c>
      <c r="AV15" s="27">
        <f t="shared" si="16"/>
        <v>1.1198208286674172E-2</v>
      </c>
      <c r="AW15" s="1">
        <v>6</v>
      </c>
      <c r="AX15" s="27">
        <f t="shared" si="17"/>
        <v>0</v>
      </c>
      <c r="AY15" s="1">
        <v>893</v>
      </c>
      <c r="AZ15" s="27">
        <f t="shared" si="18"/>
        <v>3.7166085946573668E-2</v>
      </c>
      <c r="BA15" s="1">
        <v>6</v>
      </c>
      <c r="BB15" s="27">
        <f t="shared" si="19"/>
        <v>0</v>
      </c>
      <c r="BC15" s="5">
        <v>861</v>
      </c>
      <c r="BD15" s="30">
        <f t="shared" si="20"/>
        <v>5.4309327036599742E-2</v>
      </c>
      <c r="BE15" s="5">
        <v>6</v>
      </c>
      <c r="BF15" s="31">
        <f t="shared" si="21"/>
        <v>0.19999999999999996</v>
      </c>
      <c r="BG15" s="5">
        <v>847</v>
      </c>
      <c r="BH15" s="31">
        <f t="shared" si="22"/>
        <v>0.44293015332197605</v>
      </c>
      <c r="BI15" s="5">
        <v>5</v>
      </c>
      <c r="BJ15" s="33">
        <f t="shared" si="23"/>
        <v>1.5</v>
      </c>
      <c r="BK15" s="5">
        <v>587</v>
      </c>
      <c r="BL15" s="31">
        <f t="shared" si="24"/>
        <v>0.56533333333333324</v>
      </c>
      <c r="BM15" s="5">
        <v>2</v>
      </c>
      <c r="BN15" s="30">
        <f t="shared" si="25"/>
        <v>0</v>
      </c>
      <c r="BO15" s="5">
        <v>375</v>
      </c>
      <c r="BP15" s="33">
        <f t="shared" si="26"/>
        <v>0.60944206008583701</v>
      </c>
      <c r="BQ15" s="5">
        <v>2</v>
      </c>
      <c r="BR15" s="30">
        <f t="shared" si="27"/>
        <v>0</v>
      </c>
      <c r="BS15" s="5">
        <v>233</v>
      </c>
      <c r="BT15" s="30">
        <f t="shared" si="28"/>
        <v>1.304347826086949E-2</v>
      </c>
      <c r="BU15" s="5">
        <v>2</v>
      </c>
      <c r="BV15" s="30">
        <f t="shared" si="29"/>
        <v>0</v>
      </c>
      <c r="BW15" s="5">
        <v>230</v>
      </c>
      <c r="BX15" s="30">
        <f t="shared" si="30"/>
        <v>1.3215859030837107E-2</v>
      </c>
      <c r="BY15" s="5">
        <v>2</v>
      </c>
      <c r="BZ15" s="30">
        <f t="shared" si="31"/>
        <v>0</v>
      </c>
      <c r="CA15" s="5">
        <v>227</v>
      </c>
      <c r="CB15" s="30">
        <f t="shared" si="32"/>
        <v>3.1818181818181746E-2</v>
      </c>
      <c r="CC15" s="5">
        <v>2</v>
      </c>
      <c r="CD15" s="30">
        <f t="shared" si="33"/>
        <v>0</v>
      </c>
      <c r="CE15" s="5">
        <v>220</v>
      </c>
      <c r="CF15" s="31">
        <f t="shared" si="34"/>
        <v>3.7735849056603765E-2</v>
      </c>
      <c r="CG15" s="5">
        <v>2</v>
      </c>
      <c r="CH15" s="30">
        <f t="shared" si="35"/>
        <v>0</v>
      </c>
      <c r="CI15" s="5">
        <v>212</v>
      </c>
      <c r="CJ15" s="33">
        <f t="shared" si="36"/>
        <v>6.0000000000000053E-2</v>
      </c>
      <c r="CK15" s="5">
        <v>2</v>
      </c>
      <c r="CL15" s="30">
        <f t="shared" si="37"/>
        <v>0</v>
      </c>
      <c r="CM15" s="5">
        <v>200</v>
      </c>
      <c r="CN15" s="30">
        <f t="shared" si="38"/>
        <v>5.0251256281406143E-3</v>
      </c>
      <c r="CO15" s="5">
        <v>2</v>
      </c>
      <c r="CP15" s="30">
        <f t="shared" si="39"/>
        <v>0</v>
      </c>
      <c r="CQ15" s="5">
        <v>199</v>
      </c>
      <c r="CR15" s="31">
        <f t="shared" si="40"/>
        <v>1.0152284263959421E-2</v>
      </c>
      <c r="CS15" s="5">
        <f>2</f>
        <v>2</v>
      </c>
      <c r="CT15" s="30">
        <f t="shared" si="41"/>
        <v>0</v>
      </c>
      <c r="CU15" s="5">
        <v>197</v>
      </c>
      <c r="CV15" s="33">
        <f t="shared" si="42"/>
        <v>5.9139784946236507E-2</v>
      </c>
      <c r="CW15" s="5">
        <v>2</v>
      </c>
      <c r="CX15" s="30">
        <f t="shared" si="76"/>
        <v>0</v>
      </c>
      <c r="CY15" s="5">
        <v>186</v>
      </c>
      <c r="CZ15" s="31">
        <f t="shared" si="43"/>
        <v>2.19780219780219E-2</v>
      </c>
      <c r="DA15" s="5">
        <v>2</v>
      </c>
      <c r="DB15" s="30">
        <f t="shared" si="77"/>
        <v>0</v>
      </c>
      <c r="DC15" s="5">
        <v>182</v>
      </c>
      <c r="DD15" s="33">
        <f t="shared" si="44"/>
        <v>0.66972477064220182</v>
      </c>
      <c r="DE15" s="5">
        <v>2</v>
      </c>
      <c r="DF15" s="31">
        <f t="shared" si="78"/>
        <v>0</v>
      </c>
      <c r="DG15" s="5">
        <v>109</v>
      </c>
      <c r="DH15" s="30">
        <f t="shared" si="45"/>
        <v>0</v>
      </c>
      <c r="DI15" s="8">
        <v>2</v>
      </c>
      <c r="DJ15" s="33">
        <f t="shared" si="79"/>
        <v>1</v>
      </c>
      <c r="DK15" s="34"/>
      <c r="DL15" s="8">
        <v>109</v>
      </c>
      <c r="DM15" s="31">
        <f t="shared" si="46"/>
        <v>0</v>
      </c>
      <c r="DN15" s="8">
        <v>1</v>
      </c>
      <c r="DO15" s="30">
        <f t="shared" si="47"/>
        <v>0</v>
      </c>
      <c r="DP15" s="8">
        <v>109</v>
      </c>
      <c r="DQ15" s="32">
        <f t="shared" si="48"/>
        <v>2.8301886792452935E-2</v>
      </c>
      <c r="DR15" s="8">
        <v>1</v>
      </c>
      <c r="DS15" s="30">
        <f t="shared" si="49"/>
        <v>0</v>
      </c>
      <c r="DT15" s="8">
        <v>106</v>
      </c>
      <c r="DU15" s="33">
        <f t="shared" si="50"/>
        <v>1.9230769230769162E-2</v>
      </c>
      <c r="DV15" s="8">
        <v>1</v>
      </c>
      <c r="DW15" s="30">
        <f t="shared" si="51"/>
        <v>0</v>
      </c>
      <c r="DX15" s="5">
        <v>104</v>
      </c>
      <c r="DY15" s="31">
        <f t="shared" si="52"/>
        <v>9.7087378640776656E-3</v>
      </c>
      <c r="DZ15" s="5">
        <v>1</v>
      </c>
      <c r="EA15" s="30">
        <f t="shared" si="53"/>
        <v>0</v>
      </c>
      <c r="EB15" s="5">
        <v>103</v>
      </c>
      <c r="EC15" s="33">
        <f t="shared" si="54"/>
        <v>1.980198019801982E-2</v>
      </c>
      <c r="ED15" s="5">
        <v>1</v>
      </c>
      <c r="EE15" s="30">
        <f t="shared" si="55"/>
        <v>0</v>
      </c>
      <c r="EF15" s="5">
        <v>101</v>
      </c>
      <c r="EG15" s="31">
        <f t="shared" si="56"/>
        <v>0</v>
      </c>
      <c r="EH15" s="5">
        <v>1</v>
      </c>
      <c r="EI15" s="30">
        <f t="shared" si="57"/>
        <v>0</v>
      </c>
      <c r="EJ15" s="5">
        <v>101</v>
      </c>
      <c r="EK15" s="33">
        <f t="shared" si="58"/>
        <v>1.0000000000000009E-2</v>
      </c>
      <c r="EL15" s="5">
        <v>1</v>
      </c>
      <c r="EM15" s="30">
        <f t="shared" si="59"/>
        <v>0</v>
      </c>
      <c r="EN15" s="5">
        <v>100</v>
      </c>
      <c r="EO15" s="31">
        <f t="shared" si="60"/>
        <v>0</v>
      </c>
      <c r="EP15" s="5">
        <v>1</v>
      </c>
      <c r="EQ15" s="30">
        <f t="shared" si="61"/>
        <v>0</v>
      </c>
      <c r="ER15" s="5">
        <v>100</v>
      </c>
      <c r="ES15" s="33">
        <f t="shared" si="62"/>
        <v>0.16279069767441867</v>
      </c>
      <c r="ET15" s="5">
        <v>1</v>
      </c>
      <c r="EU15" s="30">
        <f t="shared" si="63"/>
        <v>0</v>
      </c>
      <c r="EV15" s="5">
        <v>86</v>
      </c>
      <c r="EW15" s="33">
        <f t="shared" si="64"/>
        <v>0.11688311688311681</v>
      </c>
      <c r="EX15" s="5">
        <v>1</v>
      </c>
      <c r="EY15" s="30">
        <f t="shared" si="65"/>
        <v>0</v>
      </c>
      <c r="EZ15" s="5">
        <v>77</v>
      </c>
      <c r="FA15" s="31">
        <f t="shared" si="66"/>
        <v>0</v>
      </c>
      <c r="FB15" s="5">
        <v>1</v>
      </c>
      <c r="FC15" s="30">
        <f t="shared" si="80"/>
        <v>0</v>
      </c>
      <c r="FD15" s="8">
        <v>77</v>
      </c>
      <c r="FE15" s="33">
        <f t="shared" si="67"/>
        <v>1.3157894736842035E-2</v>
      </c>
      <c r="FF15" s="8">
        <v>1</v>
      </c>
      <c r="FG15" s="30">
        <f t="shared" si="81"/>
        <v>0</v>
      </c>
      <c r="FH15" s="37">
        <v>76</v>
      </c>
      <c r="FI15" s="30">
        <f t="shared" si="82"/>
        <v>0</v>
      </c>
      <c r="FJ15" s="37">
        <v>1</v>
      </c>
      <c r="FK15" s="30">
        <f t="shared" si="83"/>
        <v>0</v>
      </c>
      <c r="FL15" s="9">
        <v>76</v>
      </c>
      <c r="FM15" s="30">
        <f t="shared" si="83"/>
        <v>0</v>
      </c>
      <c r="FN15" s="9">
        <v>1</v>
      </c>
      <c r="FO15" s="30">
        <f t="shared" si="85"/>
        <v>0</v>
      </c>
      <c r="FP15" s="9">
        <v>76</v>
      </c>
      <c r="FQ15" s="31">
        <f t="shared" si="68"/>
        <v>2.7027027027026973E-2</v>
      </c>
      <c r="FR15" s="9">
        <v>1</v>
      </c>
      <c r="FS15" s="31">
        <f t="shared" si="69"/>
        <v>0</v>
      </c>
      <c r="FT15" s="9">
        <v>74</v>
      </c>
      <c r="FU15" s="33">
        <f t="shared" si="84"/>
        <v>5.7142857142857162E-2</v>
      </c>
      <c r="FV15" s="9">
        <v>1</v>
      </c>
      <c r="FW15" s="35">
        <f t="shared" si="86"/>
        <v>0</v>
      </c>
      <c r="FX15" s="9">
        <v>70</v>
      </c>
      <c r="FY15" s="11">
        <v>1</v>
      </c>
    </row>
    <row r="16" spans="2:181" x14ac:dyDescent="0.2">
      <c r="B16" s="40" t="s">
        <v>7</v>
      </c>
      <c r="C16" s="25">
        <v>38570</v>
      </c>
      <c r="D16" s="27">
        <f t="shared" si="0"/>
        <v>2.9714072136049374E-2</v>
      </c>
      <c r="E16" s="25">
        <v>3819</v>
      </c>
      <c r="F16" s="29">
        <f t="shared" si="1"/>
        <v>4.2072048382855165E-3</v>
      </c>
      <c r="G16" s="25">
        <v>37457</v>
      </c>
      <c r="H16" s="26">
        <f t="shared" si="2"/>
        <v>3.0425572886578101E-2</v>
      </c>
      <c r="I16" s="25">
        <f>2084+1719</f>
        <v>3803</v>
      </c>
      <c r="J16" s="27">
        <f t="shared" si="3"/>
        <v>3.694906307732948E-3</v>
      </c>
      <c r="K16" s="25">
        <v>36351</v>
      </c>
      <c r="L16" s="29">
        <f t="shared" si="4"/>
        <v>4.4779122237231572E-2</v>
      </c>
      <c r="M16" s="25">
        <f>2070+1719</f>
        <v>3789</v>
      </c>
      <c r="N16" s="26">
        <f t="shared" si="5"/>
        <v>5.5732484076433941E-3</v>
      </c>
      <c r="O16" s="25">
        <v>34793</v>
      </c>
      <c r="P16" s="26">
        <f t="shared" si="6"/>
        <v>3.0598341232227488E-2</v>
      </c>
      <c r="Q16" s="25">
        <f>2055+1713</f>
        <v>3768</v>
      </c>
      <c r="R16" s="26">
        <f t="shared" si="7"/>
        <v>8.835341365461824E-3</v>
      </c>
      <c r="S16" s="25">
        <v>33760</v>
      </c>
      <c r="T16" s="29">
        <f t="shared" si="70"/>
        <v>3.4630707937480798E-2</v>
      </c>
      <c r="U16" s="25">
        <f>2028+1707</f>
        <v>3735</v>
      </c>
      <c r="V16" s="29">
        <f t="shared" si="8"/>
        <v>2.0213056541928509E-2</v>
      </c>
      <c r="W16" s="25">
        <v>32630</v>
      </c>
      <c r="X16" s="26">
        <f t="shared" si="71"/>
        <v>2.4811557788944727E-2</v>
      </c>
      <c r="Y16" s="25">
        <f>1959+1702</f>
        <v>3661</v>
      </c>
      <c r="Z16" s="27">
        <f t="shared" si="9"/>
        <v>2.7389756231168683E-3</v>
      </c>
      <c r="AA16" s="25">
        <v>31840</v>
      </c>
      <c r="AB16" s="29">
        <f t="shared" si="72"/>
        <v>3.2124217964925927E-2</v>
      </c>
      <c r="AC16" s="25">
        <f>1949+1702</f>
        <v>3651</v>
      </c>
      <c r="AD16" s="26">
        <f t="shared" si="10"/>
        <v>7.4503311258278249E-3</v>
      </c>
      <c r="AE16" s="25">
        <v>30849</v>
      </c>
      <c r="AF16" s="38">
        <f t="shared" si="73"/>
        <v>3.1635621843962181E-2</v>
      </c>
      <c r="AG16" s="25">
        <f>1925+1699</f>
        <v>3624</v>
      </c>
      <c r="AH16" s="29">
        <f t="shared" si="11"/>
        <v>1.6835016835016869E-2</v>
      </c>
      <c r="AI16" s="25">
        <v>29903</v>
      </c>
      <c r="AJ16" s="28">
        <f t="shared" si="74"/>
        <v>4.0538659614447692E-2</v>
      </c>
      <c r="AK16" s="25">
        <f>1870+1694</f>
        <v>3564</v>
      </c>
      <c r="AL16" s="26">
        <f t="shared" si="12"/>
        <v>1.1235955056179137E-3</v>
      </c>
      <c r="AM16" s="7">
        <v>28738</v>
      </c>
      <c r="AN16" s="28">
        <f t="shared" si="75"/>
        <v>4.0101339124140489E-2</v>
      </c>
      <c r="AO16" s="5">
        <f>1866+1694</f>
        <v>3560</v>
      </c>
      <c r="AP16" s="28">
        <f t="shared" si="13"/>
        <v>3.6650690724555623E-3</v>
      </c>
      <c r="AQ16" s="5">
        <v>27630</v>
      </c>
      <c r="AR16" s="29">
        <f t="shared" si="14"/>
        <v>2.8054770055067735E-2</v>
      </c>
      <c r="AS16" s="5">
        <f>1859+1688</f>
        <v>3547</v>
      </c>
      <c r="AT16" s="29">
        <f t="shared" si="15"/>
        <v>1.128986734405979E-3</v>
      </c>
      <c r="AU16" s="5">
        <v>26876</v>
      </c>
      <c r="AV16" s="27">
        <f t="shared" si="16"/>
        <v>1.1745219093510118E-2</v>
      </c>
      <c r="AW16" s="1">
        <f>1857+1686</f>
        <v>3543</v>
      </c>
      <c r="AX16" s="27">
        <f t="shared" si="17"/>
        <v>5.6481219994353182E-4</v>
      </c>
      <c r="AY16" s="1">
        <v>26564</v>
      </c>
      <c r="AZ16" s="27">
        <f t="shared" si="18"/>
        <v>1.8636398496817197E-2</v>
      </c>
      <c r="BA16" s="1">
        <f>1855+1686</f>
        <v>3541</v>
      </c>
      <c r="BB16" s="27">
        <f t="shared" si="19"/>
        <v>1.6973125884016671E-3</v>
      </c>
      <c r="BC16" s="5">
        <v>26078</v>
      </c>
      <c r="BD16" s="31">
        <f t="shared" si="20"/>
        <v>4.3690083294043669E-2</v>
      </c>
      <c r="BE16" s="5">
        <f>1851+1684</f>
        <v>3535</v>
      </c>
      <c r="BF16" s="31">
        <f t="shared" si="21"/>
        <v>4.8322910744740266E-3</v>
      </c>
      <c r="BG16" s="5">
        <v>25452</v>
      </c>
      <c r="BH16" s="32">
        <f t="shared" si="22"/>
        <v>4.8399719899493432E-2</v>
      </c>
      <c r="BI16" s="5">
        <f>1839+1679</f>
        <v>3518</v>
      </c>
      <c r="BJ16" s="32">
        <f t="shared" si="23"/>
        <v>2.2377215925603045E-2</v>
      </c>
      <c r="BK16" s="5">
        <v>24277</v>
      </c>
      <c r="BL16" s="32">
        <f t="shared" si="24"/>
        <v>2.6251268177206688E-2</v>
      </c>
      <c r="BM16" s="5">
        <f>1784+1657</f>
        <v>3441</v>
      </c>
      <c r="BN16" s="32">
        <f t="shared" si="25"/>
        <v>9.0909090909090384E-3</v>
      </c>
      <c r="BO16" s="5">
        <v>23656</v>
      </c>
      <c r="BP16" s="33">
        <f t="shared" si="26"/>
        <v>1.8469884186507191E-2</v>
      </c>
      <c r="BQ16" s="5">
        <f>1757+1653</f>
        <v>3410</v>
      </c>
      <c r="BR16" s="31">
        <f t="shared" si="27"/>
        <v>2.0570085218925005E-3</v>
      </c>
      <c r="BS16" s="5">
        <v>23227</v>
      </c>
      <c r="BT16" s="30">
        <f t="shared" si="28"/>
        <v>1.7969058158390672E-2</v>
      </c>
      <c r="BU16" s="5">
        <f>1751+1652</f>
        <v>3403</v>
      </c>
      <c r="BV16" s="33">
        <f t="shared" si="29"/>
        <v>2.356406480117812E-3</v>
      </c>
      <c r="BW16" s="5">
        <v>22817</v>
      </c>
      <c r="BX16" s="31">
        <f t="shared" si="30"/>
        <v>2.4884337241162457E-2</v>
      </c>
      <c r="BY16" s="5">
        <f>1743+1652</f>
        <v>3395</v>
      </c>
      <c r="BZ16" s="30">
        <f t="shared" si="31"/>
        <v>2.0661157024792765E-3</v>
      </c>
      <c r="CA16" s="5">
        <v>22263</v>
      </c>
      <c r="CB16" s="32">
        <f t="shared" si="32"/>
        <v>3.4766442017197363E-2</v>
      </c>
      <c r="CC16" s="5">
        <f>1737+1651</f>
        <v>3388</v>
      </c>
      <c r="CD16" s="31">
        <f t="shared" si="33"/>
        <v>8.862629246677578E-4</v>
      </c>
      <c r="CE16" s="5">
        <v>21515</v>
      </c>
      <c r="CF16" s="32">
        <f t="shared" si="34"/>
        <v>1.9185220274751336E-2</v>
      </c>
      <c r="CG16" s="5">
        <f>1734+1651</f>
        <v>3385</v>
      </c>
      <c r="CH16" s="33">
        <f t="shared" si="35"/>
        <v>1.7756732761171623E-3</v>
      </c>
      <c r="CI16" s="5">
        <v>21110</v>
      </c>
      <c r="CJ16" s="32">
        <f t="shared" si="36"/>
        <v>1.8085362912949154E-2</v>
      </c>
      <c r="CK16" s="5">
        <f>1728+1651</f>
        <v>3379</v>
      </c>
      <c r="CL16" s="31">
        <f t="shared" si="37"/>
        <v>1.4819205690574933E-3</v>
      </c>
      <c r="CM16" s="5">
        <v>20735</v>
      </c>
      <c r="CN16" s="32">
        <f t="shared" si="38"/>
        <v>1.0674595437707213E-2</v>
      </c>
      <c r="CO16" s="5">
        <f>1722+1652</f>
        <v>3374</v>
      </c>
      <c r="CP16" s="32">
        <f t="shared" si="39"/>
        <v>1.7490952955367955E-2</v>
      </c>
      <c r="CQ16" s="5">
        <v>20516</v>
      </c>
      <c r="CR16" s="33">
        <f t="shared" si="40"/>
        <v>8.1077096948551919E-3</v>
      </c>
      <c r="CS16" s="5">
        <f>1718+1598</f>
        <v>3316</v>
      </c>
      <c r="CT16" s="33">
        <f t="shared" si="41"/>
        <v>2.4183796856105388E-3</v>
      </c>
      <c r="CU16" s="5">
        <v>20351</v>
      </c>
      <c r="CV16" s="30">
        <f t="shared" si="42"/>
        <v>7.8744057052297922E-3</v>
      </c>
      <c r="CW16" s="5">
        <f>1713+1595</f>
        <v>3308</v>
      </c>
      <c r="CX16" s="31">
        <f t="shared" si="76"/>
        <v>2.1205695243864398E-3</v>
      </c>
      <c r="CY16" s="5">
        <v>20192</v>
      </c>
      <c r="CZ16" s="31">
        <f t="shared" si="43"/>
        <v>1.4724358007940141E-2</v>
      </c>
      <c r="DA16" s="5">
        <f>1705+1596</f>
        <v>3301</v>
      </c>
      <c r="DB16" s="33">
        <f t="shared" si="77"/>
        <v>2.7339003645201476E-3</v>
      </c>
      <c r="DC16" s="5">
        <v>19899</v>
      </c>
      <c r="DD16" s="33">
        <f t="shared" si="44"/>
        <v>4.456692913385818E-2</v>
      </c>
      <c r="DE16" s="5">
        <v>3292</v>
      </c>
      <c r="DF16" s="31">
        <f t="shared" si="78"/>
        <v>9.1213134691403575E-4</v>
      </c>
      <c r="DG16" s="5">
        <v>19050</v>
      </c>
      <c r="DH16" s="31">
        <f t="shared" si="45"/>
        <v>1.1629759439222509E-2</v>
      </c>
      <c r="DI16" s="8">
        <v>3289</v>
      </c>
      <c r="DJ16" s="32">
        <f t="shared" si="79"/>
        <v>0.95657346817370614</v>
      </c>
      <c r="DK16" s="34"/>
      <c r="DL16" s="8">
        <v>18831</v>
      </c>
      <c r="DM16" s="33">
        <f t="shared" si="46"/>
        <v>1.849748499107573E-2</v>
      </c>
      <c r="DN16" s="8">
        <v>1681</v>
      </c>
      <c r="DO16" s="32">
        <f t="shared" si="47"/>
        <v>6.5868263473054522E-3</v>
      </c>
      <c r="DP16" s="8">
        <v>18489</v>
      </c>
      <c r="DQ16" s="31">
        <f t="shared" si="48"/>
        <v>8.8394172532328952E-3</v>
      </c>
      <c r="DR16" s="8">
        <v>1670</v>
      </c>
      <c r="DS16" s="33">
        <f t="shared" si="49"/>
        <v>2.4009603841537164E-3</v>
      </c>
      <c r="DT16" s="8">
        <v>18327</v>
      </c>
      <c r="DU16" s="32">
        <f t="shared" si="50"/>
        <v>2.2997488138431388E-2</v>
      </c>
      <c r="DV16" s="8">
        <v>1666</v>
      </c>
      <c r="DW16" s="31">
        <f t="shared" si="51"/>
        <v>1.2019230769231282E-3</v>
      </c>
      <c r="DX16" s="5">
        <v>17915</v>
      </c>
      <c r="DY16" s="33">
        <f t="shared" si="52"/>
        <v>1.8881874537906018E-2</v>
      </c>
      <c r="DZ16" s="5">
        <v>1664</v>
      </c>
      <c r="EA16" s="33">
        <f t="shared" si="53"/>
        <v>4.2245021122511162E-3</v>
      </c>
      <c r="EB16" s="5">
        <v>17583</v>
      </c>
      <c r="EC16" s="30">
        <f t="shared" si="54"/>
        <v>1.5477909327173078E-2</v>
      </c>
      <c r="ED16" s="5">
        <v>1657</v>
      </c>
      <c r="EE16" s="31">
        <f t="shared" si="55"/>
        <v>3.6341611144761199E-3</v>
      </c>
      <c r="EF16" s="5">
        <v>17315</v>
      </c>
      <c r="EG16" s="31">
        <f t="shared" si="56"/>
        <v>1.7631501616220957E-2</v>
      </c>
      <c r="EH16" s="5">
        <v>1651</v>
      </c>
      <c r="EI16" s="33">
        <f t="shared" si="57"/>
        <v>4.8691418137554177E-3</v>
      </c>
      <c r="EJ16" s="5">
        <v>17015</v>
      </c>
      <c r="EK16" s="33">
        <f t="shared" si="58"/>
        <v>3.2463592233009653E-2</v>
      </c>
      <c r="EL16" s="5">
        <v>1643</v>
      </c>
      <c r="EM16" s="30">
        <f t="shared" si="59"/>
        <v>3.6652412950519686E-3</v>
      </c>
      <c r="EN16" s="5">
        <v>16480</v>
      </c>
      <c r="EO16" s="31">
        <f t="shared" si="60"/>
        <v>2.3348236462990668E-2</v>
      </c>
      <c r="EP16" s="5">
        <v>1637</v>
      </c>
      <c r="EQ16" s="35">
        <f t="shared" si="61"/>
        <v>8.0049261083743328E-3</v>
      </c>
      <c r="ER16" s="5">
        <v>16104</v>
      </c>
      <c r="ES16" s="32">
        <f t="shared" si="62"/>
        <v>7.4459567654123315E-2</v>
      </c>
      <c r="ET16" s="5">
        <v>1624</v>
      </c>
      <c r="EU16" s="36">
        <f t="shared" si="63"/>
        <v>3.1111111111111089E-2</v>
      </c>
      <c r="EV16" s="5">
        <v>14988</v>
      </c>
      <c r="EW16" s="33">
        <f t="shared" si="64"/>
        <v>1.3867279983765135E-2</v>
      </c>
      <c r="EX16" s="5">
        <v>1575</v>
      </c>
      <c r="EY16" s="35">
        <f t="shared" si="65"/>
        <v>2.1400778210116655E-2</v>
      </c>
      <c r="EZ16" s="5">
        <v>14783</v>
      </c>
      <c r="FA16" s="30">
        <f t="shared" si="66"/>
        <v>9.8367374820684805E-3</v>
      </c>
      <c r="FB16" s="5">
        <v>1542</v>
      </c>
      <c r="FC16" s="33">
        <f t="shared" si="80"/>
        <v>3.2819825853985352E-2</v>
      </c>
      <c r="FD16" s="8">
        <v>14639</v>
      </c>
      <c r="FE16" s="35">
        <f t="shared" si="67"/>
        <v>1.9287007380587751E-2</v>
      </c>
      <c r="FF16" s="8">
        <v>1493</v>
      </c>
      <c r="FG16" s="35">
        <f t="shared" si="81"/>
        <v>1.7029972752043543E-2</v>
      </c>
      <c r="FH16" s="37">
        <v>14362</v>
      </c>
      <c r="FI16" s="36">
        <f t="shared" si="82"/>
        <v>2.1406727828746197E-2</v>
      </c>
      <c r="FJ16" s="37">
        <v>1468</v>
      </c>
      <c r="FK16" s="33">
        <f t="shared" si="83"/>
        <v>4.4839857651245651E-2</v>
      </c>
      <c r="FL16" s="9">
        <v>14061</v>
      </c>
      <c r="FM16" s="30">
        <f t="shared" si="83"/>
        <v>1.9873794153913105E-2</v>
      </c>
      <c r="FN16" s="9">
        <v>1405</v>
      </c>
      <c r="FO16" s="30">
        <f t="shared" si="85"/>
        <v>3.1571218795888312E-2</v>
      </c>
      <c r="FP16" s="9">
        <v>13787</v>
      </c>
      <c r="FQ16" s="31">
        <f t="shared" si="68"/>
        <v>5.6070471083875972E-2</v>
      </c>
      <c r="FR16" s="9">
        <v>1362</v>
      </c>
      <c r="FS16" s="31">
        <f t="shared" si="69"/>
        <v>0.11092985318107673</v>
      </c>
      <c r="FT16" s="9">
        <v>13055</v>
      </c>
      <c r="FU16" s="33">
        <f t="shared" si="84"/>
        <v>0.11533532678342584</v>
      </c>
      <c r="FV16" s="9">
        <v>1226</v>
      </c>
      <c r="FW16" s="33">
        <f t="shared" si="86"/>
        <v>0.15769593956562789</v>
      </c>
      <c r="FX16" s="9">
        <v>11705</v>
      </c>
      <c r="FY16" s="11">
        <v>1059</v>
      </c>
    </row>
    <row r="17" spans="2:181" x14ac:dyDescent="0.2">
      <c r="B17" s="40" t="s">
        <v>8</v>
      </c>
      <c r="C17" s="25">
        <v>9093</v>
      </c>
      <c r="D17" s="27">
        <f t="shared" si="0"/>
        <v>2.5950581067358591E-2</v>
      </c>
      <c r="E17" s="25">
        <v>292</v>
      </c>
      <c r="F17" s="29">
        <f t="shared" si="1"/>
        <v>3.5460992907801359E-2</v>
      </c>
      <c r="G17" s="25">
        <v>8863</v>
      </c>
      <c r="H17" s="26">
        <f t="shared" si="2"/>
        <v>2.8428869807379797E-2</v>
      </c>
      <c r="I17" s="25">
        <v>282</v>
      </c>
      <c r="J17" s="26">
        <f t="shared" si="3"/>
        <v>2.1739130434782705E-2</v>
      </c>
      <c r="K17" s="25">
        <v>8618</v>
      </c>
      <c r="L17" s="29">
        <f t="shared" si="4"/>
        <v>3.8688682656381923E-2</v>
      </c>
      <c r="M17" s="25">
        <v>276</v>
      </c>
      <c r="N17" s="29">
        <f t="shared" si="5"/>
        <v>4.1509433962264142E-2</v>
      </c>
      <c r="O17" s="25">
        <v>8297</v>
      </c>
      <c r="P17" s="27">
        <f t="shared" si="6"/>
        <v>1.5793339862879563E-2</v>
      </c>
      <c r="Q17" s="25">
        <f>247+18</f>
        <v>265</v>
      </c>
      <c r="R17" s="26">
        <f t="shared" si="7"/>
        <v>7.6045627376426506E-3</v>
      </c>
      <c r="S17" s="25">
        <v>8168</v>
      </c>
      <c r="T17" s="26">
        <f t="shared" si="70"/>
        <v>3.418586984046601E-2</v>
      </c>
      <c r="U17" s="25">
        <v>263</v>
      </c>
      <c r="V17" s="29">
        <f t="shared" si="8"/>
        <v>3.9525691699604737E-2</v>
      </c>
      <c r="W17" s="25">
        <v>7898</v>
      </c>
      <c r="X17" s="29">
        <f t="shared" si="71"/>
        <v>4.9847135451282831E-2</v>
      </c>
      <c r="Y17" s="25">
        <v>253</v>
      </c>
      <c r="Z17" s="29">
        <f t="shared" si="9"/>
        <v>2.0161290322580738E-2</v>
      </c>
      <c r="AA17" s="25">
        <v>7523</v>
      </c>
      <c r="AB17" s="27">
        <f t="shared" si="72"/>
        <v>4.8355629877369077E-2</v>
      </c>
      <c r="AC17" s="25">
        <v>248</v>
      </c>
      <c r="AD17" s="26">
        <f t="shared" si="10"/>
        <v>1.2244897959183598E-2</v>
      </c>
      <c r="AE17" s="25">
        <v>7176</v>
      </c>
      <c r="AF17" s="38">
        <f t="shared" si="73"/>
        <v>5.591524426133021E-2</v>
      </c>
      <c r="AG17" s="25">
        <v>245</v>
      </c>
      <c r="AH17" s="28">
        <f t="shared" si="11"/>
        <v>2.5104602510460206E-2</v>
      </c>
      <c r="AI17" s="25">
        <v>6796</v>
      </c>
      <c r="AJ17" s="28">
        <f t="shared" si="74"/>
        <v>7.2601010101010166E-2</v>
      </c>
      <c r="AK17" s="25">
        <v>239</v>
      </c>
      <c r="AL17" s="28">
        <f t="shared" si="12"/>
        <v>2.1367521367521292E-2</v>
      </c>
      <c r="AM17" s="7">
        <v>6336</v>
      </c>
      <c r="AN17" s="28">
        <f t="shared" si="75"/>
        <v>3.2931203130094566E-2</v>
      </c>
      <c r="AO17" s="5">
        <v>234</v>
      </c>
      <c r="AP17" s="29">
        <f t="shared" si="13"/>
        <v>1.7391304347825987E-2</v>
      </c>
      <c r="AQ17" s="5">
        <v>6134</v>
      </c>
      <c r="AR17" s="28">
        <f t="shared" si="14"/>
        <v>3.0924369747899139E-2</v>
      </c>
      <c r="AS17" s="5">
        <v>230</v>
      </c>
      <c r="AT17" s="27">
        <f t="shared" si="15"/>
        <v>0</v>
      </c>
      <c r="AU17" s="5">
        <v>5950</v>
      </c>
      <c r="AV17" s="29">
        <f t="shared" si="16"/>
        <v>2.3039889958734516E-2</v>
      </c>
      <c r="AW17" s="1">
        <v>230</v>
      </c>
      <c r="AX17" s="26">
        <f t="shared" si="17"/>
        <v>0</v>
      </c>
      <c r="AY17" s="1">
        <v>5816</v>
      </c>
      <c r="AZ17" s="27">
        <f t="shared" si="18"/>
        <v>2.2863172704889134E-2</v>
      </c>
      <c r="BA17" s="1">
        <v>230</v>
      </c>
      <c r="BB17" s="28">
        <f t="shared" si="19"/>
        <v>0.1004784688995215</v>
      </c>
      <c r="BC17" s="5">
        <v>5686</v>
      </c>
      <c r="BD17" s="31">
        <f t="shared" si="20"/>
        <v>3.8200642627632897E-2</v>
      </c>
      <c r="BE17" s="5">
        <v>209</v>
      </c>
      <c r="BF17" s="33">
        <f t="shared" si="21"/>
        <v>2.450980392156854E-2</v>
      </c>
      <c r="BG17" s="5">
        <v>5602</v>
      </c>
      <c r="BH17" s="33">
        <f t="shared" si="22"/>
        <v>3.6064361013500967E-2</v>
      </c>
      <c r="BI17" s="5">
        <v>204</v>
      </c>
      <c r="BJ17" s="31">
        <f t="shared" si="23"/>
        <v>2.0000000000000018E-2</v>
      </c>
      <c r="BK17" s="5">
        <v>5407</v>
      </c>
      <c r="BL17" s="30">
        <f t="shared" si="24"/>
        <v>3.1279801640282212E-2</v>
      </c>
      <c r="BM17" s="5">
        <f>185+15</f>
        <v>200</v>
      </c>
      <c r="BN17" s="32">
        <f t="shared" si="25"/>
        <v>7.5268817204301008E-2</v>
      </c>
      <c r="BO17" s="5">
        <v>5243</v>
      </c>
      <c r="BP17" s="31">
        <f t="shared" si="26"/>
        <v>3.2696474295843991E-2</v>
      </c>
      <c r="BQ17" s="5">
        <v>186</v>
      </c>
      <c r="BR17" s="42">
        <f t="shared" si="27"/>
        <v>2.19780219780219E-2</v>
      </c>
      <c r="BS17" s="5">
        <v>5077</v>
      </c>
      <c r="BT17" s="33">
        <f t="shared" si="28"/>
        <v>3.8878657663188099E-2</v>
      </c>
      <c r="BU17" s="5">
        <v>182</v>
      </c>
      <c r="BV17" s="33">
        <f t="shared" si="29"/>
        <v>1.6759776536312776E-2</v>
      </c>
      <c r="BW17" s="5">
        <v>4887</v>
      </c>
      <c r="BX17" s="31">
        <f t="shared" si="30"/>
        <v>2.3884349465744803E-2</v>
      </c>
      <c r="BY17" s="5">
        <f>179</f>
        <v>179</v>
      </c>
      <c r="BZ17" s="31">
        <f t="shared" si="31"/>
        <v>1.1299435028248483E-2</v>
      </c>
      <c r="CA17" s="5">
        <v>4773</v>
      </c>
      <c r="CB17" s="33">
        <f t="shared" si="32"/>
        <v>3.4012131715771332E-2</v>
      </c>
      <c r="CC17" s="5">
        <v>177</v>
      </c>
      <c r="CD17" s="33">
        <f t="shared" si="33"/>
        <v>4.117647058823537E-2</v>
      </c>
      <c r="CE17" s="5">
        <v>4616</v>
      </c>
      <c r="CF17" s="31">
        <f t="shared" si="34"/>
        <v>2.4184601730641297E-2</v>
      </c>
      <c r="CG17" s="5">
        <v>170</v>
      </c>
      <c r="CH17" s="31">
        <f t="shared" si="35"/>
        <v>3.0303030303030276E-2</v>
      </c>
      <c r="CI17" s="5">
        <v>4507</v>
      </c>
      <c r="CJ17" s="33">
        <f t="shared" si="36"/>
        <v>4.1840036985667961E-2</v>
      </c>
      <c r="CK17" s="5">
        <v>165</v>
      </c>
      <c r="CL17" s="33">
        <f t="shared" si="37"/>
        <v>0.19565217391304346</v>
      </c>
      <c r="CM17" s="5">
        <v>4326</v>
      </c>
      <c r="CN17" s="30">
        <f t="shared" si="38"/>
        <v>3.7658911009834428E-2</v>
      </c>
      <c r="CO17" s="5">
        <v>138</v>
      </c>
      <c r="CP17" s="33">
        <f t="shared" si="39"/>
        <v>6.9767441860465018E-2</v>
      </c>
      <c r="CQ17" s="5">
        <v>4169</v>
      </c>
      <c r="CR17" s="31">
        <f t="shared" si="40"/>
        <v>7.8096715800362038E-2</v>
      </c>
      <c r="CS17" s="5">
        <f>129</f>
        <v>129</v>
      </c>
      <c r="CT17" s="31">
        <f t="shared" si="41"/>
        <v>5.7377049180327822E-2</v>
      </c>
      <c r="CU17" s="5">
        <v>3867</v>
      </c>
      <c r="CV17" s="33">
        <f t="shared" si="42"/>
        <v>8.5321358405837877E-2</v>
      </c>
      <c r="CW17" s="5">
        <v>122</v>
      </c>
      <c r="CX17" s="33">
        <f t="shared" si="76"/>
        <v>7.9646017699114946E-2</v>
      </c>
      <c r="CY17" s="5">
        <v>3563</v>
      </c>
      <c r="CZ17" s="31">
        <f t="shared" si="43"/>
        <v>7.4811463046757121E-2</v>
      </c>
      <c r="DA17" s="5">
        <v>113</v>
      </c>
      <c r="DB17" s="31">
        <f t="shared" si="77"/>
        <v>1.8018018018018056E-2</v>
      </c>
      <c r="DC17" s="5">
        <v>3315</v>
      </c>
      <c r="DD17" s="33">
        <f t="shared" si="44"/>
        <v>8.0860776002608326E-2</v>
      </c>
      <c r="DE17" s="5">
        <v>111</v>
      </c>
      <c r="DF17" s="33">
        <f t="shared" si="78"/>
        <v>9.9009900990099098E-2</v>
      </c>
      <c r="DG17" s="5">
        <v>3067</v>
      </c>
      <c r="DH17" s="30">
        <f t="shared" si="45"/>
        <v>6.4560916348490149E-2</v>
      </c>
      <c r="DI17" s="8">
        <v>101</v>
      </c>
      <c r="DJ17" s="31">
        <f t="shared" si="79"/>
        <v>7.4468085106383031E-2</v>
      </c>
      <c r="DK17" s="34"/>
      <c r="DL17" s="8">
        <v>2881</v>
      </c>
      <c r="DM17" s="30">
        <f t="shared" si="46"/>
        <v>8.9636913767019655E-2</v>
      </c>
      <c r="DN17" s="8">
        <v>94</v>
      </c>
      <c r="DO17" s="33">
        <f t="shared" si="47"/>
        <v>8.0459770114942541E-2</v>
      </c>
      <c r="DP17" s="8">
        <v>2644</v>
      </c>
      <c r="DQ17" s="31">
        <f t="shared" si="48"/>
        <v>0.1490656236418948</v>
      </c>
      <c r="DR17" s="8">
        <v>87</v>
      </c>
      <c r="DS17" s="31">
        <f t="shared" si="49"/>
        <v>2.3529411764705799E-2</v>
      </c>
      <c r="DT17" s="8">
        <v>2301</v>
      </c>
      <c r="DU17" s="32">
        <f t="shared" si="50"/>
        <v>0.26013143483022994</v>
      </c>
      <c r="DV17" s="8">
        <v>85</v>
      </c>
      <c r="DW17" s="33">
        <f t="shared" si="51"/>
        <v>0.11842105263157898</v>
      </c>
      <c r="DX17" s="5">
        <v>1826</v>
      </c>
      <c r="DY17" s="32">
        <f t="shared" si="52"/>
        <v>0.2068737607402511</v>
      </c>
      <c r="DZ17" s="5">
        <v>76</v>
      </c>
      <c r="EA17" s="31">
        <f t="shared" si="53"/>
        <v>5.555555555555558E-2</v>
      </c>
      <c r="EB17" s="5">
        <v>1513</v>
      </c>
      <c r="EC17" s="33">
        <f t="shared" si="54"/>
        <v>0.19227738376674552</v>
      </c>
      <c r="ED17" s="5">
        <v>72</v>
      </c>
      <c r="EE17" s="33">
        <f t="shared" si="55"/>
        <v>0.18032786885245899</v>
      </c>
      <c r="EF17" s="5">
        <v>1269</v>
      </c>
      <c r="EG17" s="31">
        <f t="shared" si="56"/>
        <v>0.125</v>
      </c>
      <c r="EH17" s="5">
        <v>61</v>
      </c>
      <c r="EI17" s="31">
        <f t="shared" si="57"/>
        <v>0.10909090909090913</v>
      </c>
      <c r="EJ17" s="5">
        <v>1128</v>
      </c>
      <c r="EK17" s="33">
        <f t="shared" si="58"/>
        <v>0.31162790697674425</v>
      </c>
      <c r="EL17" s="5">
        <v>55</v>
      </c>
      <c r="EM17" s="36">
        <f t="shared" si="59"/>
        <v>0.17021276595744683</v>
      </c>
      <c r="EN17" s="5">
        <v>860</v>
      </c>
      <c r="EO17" s="31">
        <f t="shared" si="60"/>
        <v>0.2011173184357542</v>
      </c>
      <c r="EP17" s="5">
        <v>47</v>
      </c>
      <c r="EQ17" s="30">
        <f t="shared" si="61"/>
        <v>0.11904761904761907</v>
      </c>
      <c r="ER17" s="5">
        <v>716</v>
      </c>
      <c r="ES17" s="33">
        <f t="shared" si="62"/>
        <v>0.26501766784452307</v>
      </c>
      <c r="ET17" s="5">
        <v>42</v>
      </c>
      <c r="EU17" s="30">
        <f t="shared" si="63"/>
        <v>0.16666666666666674</v>
      </c>
      <c r="EV17" s="5">
        <v>566</v>
      </c>
      <c r="EW17" s="30">
        <f t="shared" si="64"/>
        <v>0.25221238938053103</v>
      </c>
      <c r="EX17" s="5">
        <v>36</v>
      </c>
      <c r="EY17" s="35">
        <f t="shared" si="65"/>
        <v>0.28571428571428581</v>
      </c>
      <c r="EZ17" s="5">
        <v>452</v>
      </c>
      <c r="FA17" s="31">
        <f t="shared" si="66"/>
        <v>0.31395348837209291</v>
      </c>
      <c r="FB17" s="5">
        <v>28</v>
      </c>
      <c r="FC17" s="32">
        <f t="shared" si="80"/>
        <v>0.47368421052631571</v>
      </c>
      <c r="FD17" s="8">
        <v>344</v>
      </c>
      <c r="FE17" s="32">
        <f t="shared" si="67"/>
        <v>0.43933054393305437</v>
      </c>
      <c r="FF17" s="8">
        <v>19</v>
      </c>
      <c r="FG17" s="33">
        <f t="shared" si="81"/>
        <v>0.35714285714285721</v>
      </c>
      <c r="FH17" s="37">
        <v>239</v>
      </c>
      <c r="FI17" s="36">
        <f t="shared" si="82"/>
        <v>0.17733990147783252</v>
      </c>
      <c r="FJ17" s="37">
        <v>14</v>
      </c>
      <c r="FK17" s="31">
        <f t="shared" si="83"/>
        <v>0</v>
      </c>
      <c r="FL17" s="9">
        <v>203</v>
      </c>
      <c r="FM17" s="31">
        <f t="shared" si="83"/>
        <v>6.8421052631578938E-2</v>
      </c>
      <c r="FN17" s="9">
        <v>14</v>
      </c>
      <c r="FO17" s="32">
        <f t="shared" si="85"/>
        <v>0.16666666666666674</v>
      </c>
      <c r="FP17" s="9">
        <v>190</v>
      </c>
      <c r="FQ17" s="32">
        <f t="shared" si="68"/>
        <v>0.25827814569536423</v>
      </c>
      <c r="FR17" s="9">
        <v>12</v>
      </c>
      <c r="FS17" s="33">
        <f t="shared" si="69"/>
        <v>9.0909090909090828E-2</v>
      </c>
      <c r="FT17" s="9">
        <v>151</v>
      </c>
      <c r="FU17" s="33">
        <f t="shared" si="84"/>
        <v>0.19841269841269837</v>
      </c>
      <c r="FV17" s="9">
        <v>11</v>
      </c>
      <c r="FW17" s="35">
        <f t="shared" si="86"/>
        <v>0</v>
      </c>
      <c r="FX17" s="9">
        <v>126</v>
      </c>
      <c r="FY17" s="11">
        <v>11</v>
      </c>
    </row>
    <row r="18" spans="2:181" x14ac:dyDescent="0.2">
      <c r="B18" s="41" t="s">
        <v>9</v>
      </c>
      <c r="C18" s="25">
        <v>11058</v>
      </c>
      <c r="D18" s="29">
        <f t="shared" si="0"/>
        <v>3.5781191457474604E-2</v>
      </c>
      <c r="E18" s="25">
        <v>375</v>
      </c>
      <c r="F18" s="28">
        <f t="shared" si="1"/>
        <v>4.4568245125348183E-2</v>
      </c>
      <c r="G18" s="25">
        <v>10676</v>
      </c>
      <c r="H18" s="26">
        <f t="shared" si="2"/>
        <v>3.1996133397776738E-2</v>
      </c>
      <c r="I18" s="25">
        <v>359</v>
      </c>
      <c r="J18" s="29">
        <f t="shared" si="3"/>
        <v>4.057971014492745E-2</v>
      </c>
      <c r="K18" s="25">
        <v>10345</v>
      </c>
      <c r="L18" s="28">
        <f t="shared" si="4"/>
        <v>3.6677021745666005E-2</v>
      </c>
      <c r="M18" s="25">
        <v>345</v>
      </c>
      <c r="N18" s="27">
        <f t="shared" si="5"/>
        <v>2.0710059171597628E-2</v>
      </c>
      <c r="O18" s="25">
        <v>9979</v>
      </c>
      <c r="P18" s="28">
        <f t="shared" si="6"/>
        <v>3.807344221366904E-2</v>
      </c>
      <c r="Q18" s="25">
        <f>284+54</f>
        <v>338</v>
      </c>
      <c r="R18" s="27">
        <f t="shared" si="7"/>
        <v>2.4242424242424176E-2</v>
      </c>
      <c r="S18" s="25">
        <v>9613</v>
      </c>
      <c r="T18" s="29">
        <f t="shared" si="70"/>
        <v>3.5102831915580834E-2</v>
      </c>
      <c r="U18" s="25">
        <v>330</v>
      </c>
      <c r="V18" s="26">
        <f t="shared" si="8"/>
        <v>2.8037383177569986E-2</v>
      </c>
      <c r="W18" s="25">
        <v>9287</v>
      </c>
      <c r="X18" s="26">
        <f t="shared" si="71"/>
        <v>2.4602824360105968E-2</v>
      </c>
      <c r="Y18" s="25">
        <v>321</v>
      </c>
      <c r="Z18" s="29">
        <f t="shared" si="9"/>
        <v>3.8834951456310662E-2</v>
      </c>
      <c r="AA18" s="25">
        <v>9064</v>
      </c>
      <c r="AB18" s="29">
        <f t="shared" si="72"/>
        <v>5.1996285979572843E-2</v>
      </c>
      <c r="AC18" s="25">
        <v>309</v>
      </c>
      <c r="AD18" s="26">
        <f t="shared" si="10"/>
        <v>1.980198019801982E-2</v>
      </c>
      <c r="AE18" s="25">
        <v>8616</v>
      </c>
      <c r="AF18" s="38">
        <f t="shared" si="73"/>
        <v>4.4363636363636383E-2</v>
      </c>
      <c r="AG18" s="25">
        <v>303</v>
      </c>
      <c r="AH18" s="29">
        <f t="shared" si="11"/>
        <v>3.0612244897959107E-2</v>
      </c>
      <c r="AI18" s="25">
        <v>8250</v>
      </c>
      <c r="AJ18" s="29">
        <f t="shared" si="74"/>
        <v>5.2967453733248293E-2</v>
      </c>
      <c r="AK18" s="25">
        <v>294</v>
      </c>
      <c r="AL18" s="27">
        <f t="shared" si="12"/>
        <v>0</v>
      </c>
      <c r="AM18" s="7">
        <v>7835</v>
      </c>
      <c r="AN18" s="26">
        <f t="shared" si="75"/>
        <v>2.164558612596168E-2</v>
      </c>
      <c r="AO18" s="5">
        <v>294</v>
      </c>
      <c r="AP18" s="26">
        <f t="shared" si="13"/>
        <v>3.4129692832765013E-3</v>
      </c>
      <c r="AQ18" s="5">
        <v>7669</v>
      </c>
      <c r="AR18" s="29">
        <f t="shared" si="14"/>
        <v>2.5267379679144275E-2</v>
      </c>
      <c r="AS18" s="5">
        <v>293</v>
      </c>
      <c r="AT18" s="29">
        <f t="shared" si="15"/>
        <v>3.424657534246478E-3</v>
      </c>
      <c r="AU18" s="5">
        <v>7480</v>
      </c>
      <c r="AV18" s="27">
        <f t="shared" si="16"/>
        <v>1.6028253192067465E-2</v>
      </c>
      <c r="AW18" s="1">
        <v>292</v>
      </c>
      <c r="AX18" s="27">
        <f t="shared" si="17"/>
        <v>0</v>
      </c>
      <c r="AY18" s="1">
        <v>7362</v>
      </c>
      <c r="AZ18" s="27">
        <f t="shared" si="18"/>
        <v>1.6570008285004212E-2</v>
      </c>
      <c r="BA18" s="1">
        <v>292</v>
      </c>
      <c r="BB18" s="26">
        <f t="shared" si="19"/>
        <v>0</v>
      </c>
      <c r="BC18" s="5">
        <v>7242</v>
      </c>
      <c r="BD18" s="31">
        <f t="shared" si="20"/>
        <v>2.9650349650349739E-2</v>
      </c>
      <c r="BE18" s="5">
        <v>292</v>
      </c>
      <c r="BF18" s="33">
        <f t="shared" si="21"/>
        <v>1.388888888888884E-2</v>
      </c>
      <c r="BG18" s="5">
        <v>7150</v>
      </c>
      <c r="BH18" s="33">
        <f t="shared" si="22"/>
        <v>2.700373455903482E-2</v>
      </c>
      <c r="BI18" s="5">
        <v>288</v>
      </c>
      <c r="BJ18" s="30">
        <f t="shared" si="23"/>
        <v>3.4843205574912606E-3</v>
      </c>
      <c r="BK18" s="5">
        <v>6962</v>
      </c>
      <c r="BL18" s="30">
        <f t="shared" si="24"/>
        <v>1.6795676938805348E-2</v>
      </c>
      <c r="BM18" s="5">
        <f>241+46</f>
        <v>287</v>
      </c>
      <c r="BN18" s="31">
        <f t="shared" si="25"/>
        <v>1.0563380281690238E-2</v>
      </c>
      <c r="BO18" s="5">
        <v>6847</v>
      </c>
      <c r="BP18" s="31">
        <f t="shared" si="26"/>
        <v>2.3314900612763312E-2</v>
      </c>
      <c r="BQ18" s="5">
        <v>284</v>
      </c>
      <c r="BR18" s="33">
        <f t="shared" si="27"/>
        <v>1.7921146953405076E-2</v>
      </c>
      <c r="BS18" s="5">
        <v>6691</v>
      </c>
      <c r="BT18" s="33">
        <f t="shared" si="28"/>
        <v>4.4652615144418428E-2</v>
      </c>
      <c r="BU18" s="5">
        <v>279</v>
      </c>
      <c r="BV18" s="31">
        <f t="shared" si="29"/>
        <v>1.0869565217391353E-2</v>
      </c>
      <c r="BW18" s="5">
        <v>6405</v>
      </c>
      <c r="BX18" s="31">
        <f t="shared" si="30"/>
        <v>2.8585193512124629E-2</v>
      </c>
      <c r="BY18" s="5">
        <v>276</v>
      </c>
      <c r="BZ18" s="33">
        <f t="shared" si="31"/>
        <v>3.7593984962406068E-2</v>
      </c>
      <c r="CA18" s="5">
        <v>6227</v>
      </c>
      <c r="CB18" s="33">
        <f t="shared" si="32"/>
        <v>3.2841267208492342E-2</v>
      </c>
      <c r="CC18" s="5">
        <v>266</v>
      </c>
      <c r="CD18" s="31">
        <f t="shared" si="33"/>
        <v>3.7735849056603765E-3</v>
      </c>
      <c r="CE18" s="5">
        <v>6029</v>
      </c>
      <c r="CF18" s="31">
        <f t="shared" si="34"/>
        <v>1.8756336600202816E-2</v>
      </c>
      <c r="CG18" s="5">
        <v>265</v>
      </c>
      <c r="CH18" s="32">
        <f t="shared" si="35"/>
        <v>4.3307086614173151E-2</v>
      </c>
      <c r="CI18" s="5">
        <v>5918</v>
      </c>
      <c r="CJ18" s="33">
        <f t="shared" si="36"/>
        <v>3.1549590378246561E-2</v>
      </c>
      <c r="CK18" s="5">
        <v>254</v>
      </c>
      <c r="CL18" s="33">
        <f t="shared" si="37"/>
        <v>2.8340080971659853E-2</v>
      </c>
      <c r="CM18" s="5">
        <v>5737</v>
      </c>
      <c r="CN18" s="35">
        <f t="shared" si="38"/>
        <v>1.5757790368271962E-2</v>
      </c>
      <c r="CO18" s="5">
        <v>247</v>
      </c>
      <c r="CP18" s="30">
        <f t="shared" si="39"/>
        <v>1.2295081967213184E-2</v>
      </c>
      <c r="CQ18" s="5">
        <v>5648</v>
      </c>
      <c r="CR18" s="32">
        <f t="shared" si="40"/>
        <v>5.1181835101433037E-2</v>
      </c>
      <c r="CS18" s="5">
        <f>244</f>
        <v>244</v>
      </c>
      <c r="CT18" s="31">
        <f t="shared" si="41"/>
        <v>3.3898305084745672E-2</v>
      </c>
      <c r="CU18" s="5">
        <v>5373</v>
      </c>
      <c r="CV18" s="33">
        <f t="shared" si="42"/>
        <v>5.1056338028169002E-2</v>
      </c>
      <c r="CW18" s="5">
        <v>236</v>
      </c>
      <c r="CX18" s="33">
        <f t="shared" si="76"/>
        <v>3.5087719298245723E-2</v>
      </c>
      <c r="CY18" s="5">
        <v>5112</v>
      </c>
      <c r="CZ18" s="31">
        <f t="shared" si="43"/>
        <v>3.398058252427183E-2</v>
      </c>
      <c r="DA18" s="5">
        <v>228</v>
      </c>
      <c r="DB18" s="30">
        <f t="shared" si="77"/>
        <v>1.3333333333333419E-2</v>
      </c>
      <c r="DC18" s="5">
        <v>4944</v>
      </c>
      <c r="DD18" s="30">
        <f t="shared" si="44"/>
        <v>4.2598059890341711E-2</v>
      </c>
      <c r="DE18" s="5">
        <v>225</v>
      </c>
      <c r="DF18" s="31">
        <f t="shared" si="78"/>
        <v>5.6338028169014009E-2</v>
      </c>
      <c r="DG18" s="5">
        <v>4742</v>
      </c>
      <c r="DH18" s="30">
        <f t="shared" si="45"/>
        <v>8.1167350661194737E-2</v>
      </c>
      <c r="DI18" s="8">
        <v>213</v>
      </c>
      <c r="DJ18" s="33">
        <f t="shared" si="79"/>
        <v>0.33962264150943389</v>
      </c>
      <c r="DK18" s="34"/>
      <c r="DL18" s="8">
        <v>4386</v>
      </c>
      <c r="DM18" s="31">
        <f t="shared" si="46"/>
        <v>8.216136195410817E-2</v>
      </c>
      <c r="DN18" s="8">
        <v>159</v>
      </c>
      <c r="DO18" s="31">
        <f t="shared" si="47"/>
        <v>9.6551724137931005E-2</v>
      </c>
      <c r="DP18" s="8">
        <v>4053</v>
      </c>
      <c r="DQ18" s="33">
        <f t="shared" si="48"/>
        <v>0.16165090283748929</v>
      </c>
      <c r="DR18" s="8">
        <v>145</v>
      </c>
      <c r="DS18" s="33">
        <f t="shared" si="49"/>
        <v>0.20833333333333326</v>
      </c>
      <c r="DT18" s="8">
        <v>3489</v>
      </c>
      <c r="DU18" s="30">
        <f t="shared" si="50"/>
        <v>0.11114649681528666</v>
      </c>
      <c r="DV18" s="8">
        <v>120</v>
      </c>
      <c r="DW18" s="30">
        <f t="shared" si="51"/>
        <v>0.10091743119266061</v>
      </c>
      <c r="DX18" s="5">
        <v>3140</v>
      </c>
      <c r="DY18" s="31">
        <f t="shared" si="52"/>
        <v>0.1984732824427482</v>
      </c>
      <c r="DZ18" s="5">
        <v>109</v>
      </c>
      <c r="EA18" s="31">
        <f t="shared" si="53"/>
        <v>0.25287356321839072</v>
      </c>
      <c r="EB18" s="5">
        <v>2620</v>
      </c>
      <c r="EC18" s="33">
        <f t="shared" si="54"/>
        <v>0.24111795357650401</v>
      </c>
      <c r="ED18" s="5">
        <v>87</v>
      </c>
      <c r="EE18" s="32">
        <f t="shared" si="55"/>
        <v>0.33846153846153837</v>
      </c>
      <c r="EF18" s="5">
        <v>2111</v>
      </c>
      <c r="EG18" s="31">
        <f t="shared" si="56"/>
        <v>0.23306074766355134</v>
      </c>
      <c r="EH18" s="5">
        <v>65</v>
      </c>
      <c r="EI18" s="33">
        <f t="shared" si="57"/>
        <v>0.10169491525423724</v>
      </c>
      <c r="EJ18" s="5">
        <v>1712</v>
      </c>
      <c r="EK18" s="33">
        <f t="shared" si="58"/>
        <v>0.29402872260015123</v>
      </c>
      <c r="EL18" s="5">
        <v>59</v>
      </c>
      <c r="EM18" s="35">
        <f t="shared" si="59"/>
        <v>7.2727272727272751E-2</v>
      </c>
      <c r="EN18" s="5">
        <v>1323</v>
      </c>
      <c r="EO18" s="30">
        <f t="shared" si="60"/>
        <v>0.20821917808219181</v>
      </c>
      <c r="EP18" s="5">
        <v>55</v>
      </c>
      <c r="EQ18" s="36">
        <f t="shared" si="61"/>
        <v>0.17021276595744683</v>
      </c>
      <c r="ER18" s="5">
        <v>1095</v>
      </c>
      <c r="ES18" s="31">
        <f t="shared" si="62"/>
        <v>0.28370457209847588</v>
      </c>
      <c r="ET18" s="5">
        <v>47</v>
      </c>
      <c r="EU18" s="35">
        <f t="shared" si="63"/>
        <v>6.8181818181818121E-2</v>
      </c>
      <c r="EV18" s="5">
        <v>853</v>
      </c>
      <c r="EW18" s="33">
        <f t="shared" si="64"/>
        <v>0.26934523809523814</v>
      </c>
      <c r="EX18" s="5">
        <v>44</v>
      </c>
      <c r="EY18" s="33">
        <f t="shared" si="65"/>
        <v>0.15789473684210531</v>
      </c>
      <c r="EZ18" s="5">
        <v>672</v>
      </c>
      <c r="FA18" s="30">
        <f t="shared" si="66"/>
        <v>0.17688266199649738</v>
      </c>
      <c r="FB18" s="5">
        <v>38</v>
      </c>
      <c r="FC18" s="30">
        <f t="shared" si="80"/>
        <v>8.5714285714285632E-2</v>
      </c>
      <c r="FD18" s="8">
        <v>571</v>
      </c>
      <c r="FE18" s="35">
        <f t="shared" si="67"/>
        <v>0.18219461697722572</v>
      </c>
      <c r="FF18" s="8">
        <v>35</v>
      </c>
      <c r="FG18" s="35">
        <f t="shared" si="81"/>
        <v>0.25</v>
      </c>
      <c r="FH18" s="37">
        <v>483</v>
      </c>
      <c r="FI18" s="36">
        <f t="shared" si="82"/>
        <v>0.35294117647058831</v>
      </c>
      <c r="FJ18" s="37">
        <v>28</v>
      </c>
      <c r="FK18" s="33">
        <f t="shared" si="83"/>
        <v>0.33333333333333326</v>
      </c>
      <c r="FL18" s="9">
        <v>357</v>
      </c>
      <c r="FM18" s="30">
        <f t="shared" si="83"/>
        <v>6.8862275449101729E-2</v>
      </c>
      <c r="FN18" s="9">
        <v>21</v>
      </c>
      <c r="FO18" s="30">
        <f t="shared" si="85"/>
        <v>5.0000000000000044E-2</v>
      </c>
      <c r="FP18" s="9">
        <v>334</v>
      </c>
      <c r="FQ18" s="31">
        <f t="shared" si="68"/>
        <v>0.11333333333333329</v>
      </c>
      <c r="FR18" s="9">
        <v>20</v>
      </c>
      <c r="FS18" s="31">
        <f t="shared" si="69"/>
        <v>5.2631578947368363E-2</v>
      </c>
      <c r="FT18" s="9">
        <v>300</v>
      </c>
      <c r="FU18" s="33">
        <f t="shared" si="84"/>
        <v>0.16731517509727634</v>
      </c>
      <c r="FV18" s="9">
        <v>19</v>
      </c>
      <c r="FW18" s="33">
        <f t="shared" si="86"/>
        <v>0.35714285714285721</v>
      </c>
      <c r="FX18" s="9">
        <v>257</v>
      </c>
      <c r="FY18" s="11">
        <v>14</v>
      </c>
    </row>
    <row r="19" spans="2:181" x14ac:dyDescent="0.2">
      <c r="B19" s="24" t="s">
        <v>10</v>
      </c>
      <c r="C19" s="25">
        <v>8334</v>
      </c>
      <c r="D19" s="27">
        <f t="shared" si="0"/>
        <v>3.9670658682634752E-2</v>
      </c>
      <c r="E19" s="25">
        <v>648</v>
      </c>
      <c r="F19" s="26">
        <f t="shared" si="1"/>
        <v>3.0959752321981782E-3</v>
      </c>
      <c r="G19" s="25">
        <v>8016</v>
      </c>
      <c r="H19" s="26">
        <f t="shared" si="2"/>
        <v>5.7938498086313794E-2</v>
      </c>
      <c r="I19" s="25">
        <f>393+253</f>
        <v>646</v>
      </c>
      <c r="J19" s="29">
        <f t="shared" si="3"/>
        <v>2.866242038216571E-2</v>
      </c>
      <c r="K19" s="25">
        <v>7577</v>
      </c>
      <c r="L19" s="28">
        <f t="shared" si="4"/>
        <v>7.4599347610267985E-2</v>
      </c>
      <c r="M19" s="25">
        <v>628</v>
      </c>
      <c r="N19" s="27">
        <f t="shared" si="5"/>
        <v>3.1948881789136685E-3</v>
      </c>
      <c r="O19" s="25">
        <v>7051</v>
      </c>
      <c r="P19" s="28">
        <f t="shared" si="6"/>
        <v>5.9504132231404938E-2</v>
      </c>
      <c r="Q19" s="25">
        <f>378+248</f>
        <v>626</v>
      </c>
      <c r="R19" s="26">
        <f t="shared" si="7"/>
        <v>4.8154093097914075E-3</v>
      </c>
      <c r="S19" s="25">
        <v>6655</v>
      </c>
      <c r="T19" s="29">
        <f t="shared" si="70"/>
        <v>5.3172970406709874E-2</v>
      </c>
      <c r="U19" s="25">
        <f>375+248</f>
        <v>623</v>
      </c>
      <c r="V19" s="29">
        <f t="shared" si="8"/>
        <v>1.3008130081300751E-2</v>
      </c>
      <c r="W19" s="25">
        <v>6319</v>
      </c>
      <c r="X19" s="26">
        <f t="shared" si="71"/>
        <v>4.3255737163612418E-2</v>
      </c>
      <c r="Y19" s="25">
        <v>615</v>
      </c>
      <c r="Z19" s="26">
        <f t="shared" si="9"/>
        <v>6.5466448445172798E-3</v>
      </c>
      <c r="AA19" s="25">
        <v>6057</v>
      </c>
      <c r="AB19" s="28">
        <f t="shared" si="72"/>
        <v>6.058483628086142E-2</v>
      </c>
      <c r="AC19" s="25">
        <v>611</v>
      </c>
      <c r="AD19" s="28">
        <f t="shared" si="10"/>
        <v>6.5897858319605707E-3</v>
      </c>
      <c r="AE19" s="25">
        <v>5711</v>
      </c>
      <c r="AF19" s="28">
        <f t="shared" si="73"/>
        <v>5.6809770540340532E-2</v>
      </c>
      <c r="AG19" s="25">
        <f>365+242</f>
        <v>607</v>
      </c>
      <c r="AH19" s="29">
        <f t="shared" si="11"/>
        <v>3.3057851239668423E-3</v>
      </c>
      <c r="AI19" s="25">
        <v>5404</v>
      </c>
      <c r="AJ19" s="28">
        <f t="shared" si="74"/>
        <v>5.382215288611536E-2</v>
      </c>
      <c r="AK19" s="25">
        <v>605</v>
      </c>
      <c r="AL19" s="26">
        <f t="shared" si="12"/>
        <v>1.6556291390728006E-3</v>
      </c>
      <c r="AM19" s="7">
        <v>5128</v>
      </c>
      <c r="AN19" s="28">
        <f t="shared" si="75"/>
        <v>3.5332121946295203E-2</v>
      </c>
      <c r="AO19" s="5">
        <v>604</v>
      </c>
      <c r="AP19" s="29">
        <f t="shared" si="13"/>
        <v>1.6583747927032544E-3</v>
      </c>
      <c r="AQ19" s="5">
        <v>4953</v>
      </c>
      <c r="AR19" s="29">
        <f t="shared" si="14"/>
        <v>2.2080066033842272E-2</v>
      </c>
      <c r="AS19" s="5">
        <v>603</v>
      </c>
      <c r="AT19" s="27">
        <f t="shared" si="15"/>
        <v>0</v>
      </c>
      <c r="AU19" s="5">
        <v>4846</v>
      </c>
      <c r="AV19" s="27">
        <f t="shared" si="16"/>
        <v>1.1902276049279514E-2</v>
      </c>
      <c r="AW19" s="1">
        <v>603</v>
      </c>
      <c r="AX19" s="27">
        <f t="shared" si="17"/>
        <v>0</v>
      </c>
      <c r="AY19" s="1">
        <v>4789</v>
      </c>
      <c r="AZ19" s="27">
        <f t="shared" si="18"/>
        <v>1.7420862545145521E-2</v>
      </c>
      <c r="BA19" s="1">
        <f>361+242</f>
        <v>603</v>
      </c>
      <c r="BB19" s="27">
        <f t="shared" si="19"/>
        <v>0</v>
      </c>
      <c r="BC19" s="5">
        <v>4707</v>
      </c>
      <c r="BD19" s="30">
        <f t="shared" si="20"/>
        <v>4.1086956521739104E-2</v>
      </c>
      <c r="BE19" s="5">
        <v>603</v>
      </c>
      <c r="BF19" s="31">
        <f t="shared" si="21"/>
        <v>3.3277870216306127E-3</v>
      </c>
      <c r="BG19" s="5">
        <v>4600</v>
      </c>
      <c r="BH19" s="31">
        <f t="shared" si="22"/>
        <v>3.3011452953065401E-2</v>
      </c>
      <c r="BI19" s="5">
        <f>359+242</f>
        <v>601</v>
      </c>
      <c r="BJ19" s="33">
        <f t="shared" si="23"/>
        <v>1.3490725126475533E-2</v>
      </c>
      <c r="BK19" s="5">
        <v>4453</v>
      </c>
      <c r="BL19" s="33">
        <f t="shared" si="24"/>
        <v>4.2368913857677937E-2</v>
      </c>
      <c r="BM19" s="5">
        <f>353+240</f>
        <v>593</v>
      </c>
      <c r="BN19" s="31">
        <f t="shared" si="25"/>
        <v>8.5034013605442826E-3</v>
      </c>
      <c r="BO19" s="5">
        <v>4272</v>
      </c>
      <c r="BP19" s="31">
        <f t="shared" si="26"/>
        <v>1.5933412604042907E-2</v>
      </c>
      <c r="BQ19" s="5">
        <v>588</v>
      </c>
      <c r="BR19" s="33">
        <f t="shared" si="27"/>
        <v>8.5763293310463506E-3</v>
      </c>
      <c r="BS19" s="5">
        <v>4205</v>
      </c>
      <c r="BT19" s="33">
        <f t="shared" si="28"/>
        <v>2.7614858260019526E-2</v>
      </c>
      <c r="BU19" s="5">
        <f>345+238</f>
        <v>583</v>
      </c>
      <c r="BV19" s="31">
        <f t="shared" si="29"/>
        <v>3.4423407917383297E-3</v>
      </c>
      <c r="BW19" s="5">
        <v>4092</v>
      </c>
      <c r="BX19" s="31">
        <f t="shared" si="30"/>
        <v>1.8670649738610878E-2</v>
      </c>
      <c r="BY19" s="5">
        <f>343+238</f>
        <v>581</v>
      </c>
      <c r="BZ19" s="33">
        <f t="shared" si="31"/>
        <v>3.4542314335059832E-3</v>
      </c>
      <c r="CA19" s="5">
        <v>4017</v>
      </c>
      <c r="CB19" s="33">
        <f t="shared" si="32"/>
        <v>2.2397556630185722E-2</v>
      </c>
      <c r="CC19" s="5">
        <f>342+237</f>
        <v>579</v>
      </c>
      <c r="CD19" s="31">
        <f t="shared" si="33"/>
        <v>1.7301038062282892E-3</v>
      </c>
      <c r="CE19" s="5">
        <v>3929</v>
      </c>
      <c r="CF19" s="32">
        <f t="shared" si="34"/>
        <v>2.2112382934443398E-2</v>
      </c>
      <c r="CG19" s="5">
        <v>578</v>
      </c>
      <c r="CH19" s="30">
        <f t="shared" si="35"/>
        <v>5.2173913043478404E-3</v>
      </c>
      <c r="CI19" s="5">
        <v>3844</v>
      </c>
      <c r="CJ19" s="32">
        <f t="shared" si="36"/>
        <v>1.8278145695364234E-2</v>
      </c>
      <c r="CK19" s="5">
        <f>339+236</f>
        <v>575</v>
      </c>
      <c r="CL19" s="31">
        <f t="shared" si="37"/>
        <v>5.2447552447552059E-3</v>
      </c>
      <c r="CM19" s="5">
        <v>3775</v>
      </c>
      <c r="CN19" s="36">
        <f t="shared" si="38"/>
        <v>1.3694951664876553E-2</v>
      </c>
      <c r="CO19" s="5">
        <f>338+234</f>
        <v>572</v>
      </c>
      <c r="CP19" s="33">
        <f t="shared" si="39"/>
        <v>8.3333333333333259E-2</v>
      </c>
      <c r="CQ19" s="5">
        <v>3724</v>
      </c>
      <c r="CR19" s="31">
        <f t="shared" si="40"/>
        <v>1.3609145345672369E-2</v>
      </c>
      <c r="CS19" s="5">
        <f>337+191</f>
        <v>528</v>
      </c>
      <c r="CT19" s="31">
        <f t="shared" si="41"/>
        <v>3.8022813688212143E-3</v>
      </c>
      <c r="CU19" s="5">
        <v>3674</v>
      </c>
      <c r="CV19" s="33">
        <f t="shared" si="42"/>
        <v>5.8789625360230469E-2</v>
      </c>
      <c r="CW19" s="5">
        <f>337+189</f>
        <v>526</v>
      </c>
      <c r="CX19" s="33">
        <f t="shared" si="76"/>
        <v>1.1538461538461497E-2</v>
      </c>
      <c r="CY19" s="5">
        <v>3470</v>
      </c>
      <c r="CZ19" s="31">
        <f t="shared" si="43"/>
        <v>4.341534008682979E-3</v>
      </c>
      <c r="DA19" s="5">
        <v>520</v>
      </c>
      <c r="DB19" s="30">
        <f t="shared" si="77"/>
        <v>3.8610038610038533E-3</v>
      </c>
      <c r="DC19" s="5">
        <v>3455</v>
      </c>
      <c r="DD19" s="33">
        <f t="shared" si="44"/>
        <v>4.1917973462002323E-2</v>
      </c>
      <c r="DE19" s="5">
        <v>518</v>
      </c>
      <c r="DF19" s="31">
        <f t="shared" si="78"/>
        <v>2.1696252465483346E-2</v>
      </c>
      <c r="DG19" s="5">
        <v>3316</v>
      </c>
      <c r="DH19" s="31">
        <f t="shared" si="45"/>
        <v>1.3137794072716202E-2</v>
      </c>
      <c r="DI19" s="8">
        <v>507</v>
      </c>
      <c r="DJ19" s="33">
        <f t="shared" si="79"/>
        <v>0.56965944272445812</v>
      </c>
      <c r="DK19" s="34"/>
      <c r="DL19" s="8">
        <v>3273</v>
      </c>
      <c r="DM19" s="32">
        <f t="shared" si="46"/>
        <v>6.6123778501628649E-2</v>
      </c>
      <c r="DN19" s="8">
        <v>323</v>
      </c>
      <c r="DO19" s="33">
        <f t="shared" si="47"/>
        <v>6.230529595015577E-3</v>
      </c>
      <c r="DP19" s="8">
        <v>3070</v>
      </c>
      <c r="DQ19" s="33">
        <f t="shared" si="48"/>
        <v>2.4357691024357697E-2</v>
      </c>
      <c r="DR19" s="8">
        <v>321</v>
      </c>
      <c r="DS19" s="30">
        <f t="shared" si="49"/>
        <v>0</v>
      </c>
      <c r="DT19" s="8">
        <v>2997</v>
      </c>
      <c r="DU19" s="31">
        <f t="shared" si="50"/>
        <v>1.662143826322926E-2</v>
      </c>
      <c r="DV19" s="8">
        <v>321</v>
      </c>
      <c r="DW19" s="31">
        <f t="shared" si="51"/>
        <v>6.2695924764890609E-3</v>
      </c>
      <c r="DX19" s="5">
        <v>2948</v>
      </c>
      <c r="DY19" s="33">
        <f t="shared" si="52"/>
        <v>2.7535726734053689E-2</v>
      </c>
      <c r="DZ19" s="5">
        <v>319</v>
      </c>
      <c r="EA19" s="33">
        <f t="shared" si="53"/>
        <v>9.493670886076E-3</v>
      </c>
      <c r="EB19" s="5">
        <v>2869</v>
      </c>
      <c r="EC19" s="30">
        <f t="shared" si="54"/>
        <v>2.5008931761343334E-2</v>
      </c>
      <c r="ED19" s="5">
        <v>316</v>
      </c>
      <c r="EE19" s="33">
        <f t="shared" si="55"/>
        <v>6.3694267515923553E-3</v>
      </c>
      <c r="EF19" s="5">
        <v>2799</v>
      </c>
      <c r="EG19" s="30">
        <f t="shared" si="56"/>
        <v>3.0559646539027874E-2</v>
      </c>
      <c r="EH19" s="5">
        <v>314</v>
      </c>
      <c r="EI19" s="30">
        <f t="shared" si="57"/>
        <v>0</v>
      </c>
      <c r="EJ19" s="5">
        <v>2716</v>
      </c>
      <c r="EK19" s="30">
        <f t="shared" si="58"/>
        <v>4.5419553502694443E-2</v>
      </c>
      <c r="EL19" s="5">
        <v>314</v>
      </c>
      <c r="EM19" s="30">
        <f t="shared" si="59"/>
        <v>5.7239057239057312E-2</v>
      </c>
      <c r="EN19" s="5">
        <v>2598</v>
      </c>
      <c r="EO19" s="30">
        <f t="shared" si="60"/>
        <v>7.4886222589987561E-2</v>
      </c>
      <c r="EP19" s="5">
        <v>297</v>
      </c>
      <c r="EQ19" s="35">
        <f t="shared" si="61"/>
        <v>8.3941605839416011E-2</v>
      </c>
      <c r="ER19" s="5">
        <v>2417</v>
      </c>
      <c r="ES19" s="31">
        <f t="shared" si="62"/>
        <v>8.0948121645796123E-2</v>
      </c>
      <c r="ET19" s="5">
        <v>274</v>
      </c>
      <c r="EU19" s="36">
        <f t="shared" si="63"/>
        <v>8.7301587301587213E-2</v>
      </c>
      <c r="EV19" s="5">
        <v>2236</v>
      </c>
      <c r="EW19" s="33">
        <f t="shared" si="64"/>
        <v>8.701993193971802E-2</v>
      </c>
      <c r="EX19" s="5">
        <v>252</v>
      </c>
      <c r="EY19" s="30">
        <f t="shared" si="65"/>
        <v>2.4390243902439046E-2</v>
      </c>
      <c r="EZ19" s="5">
        <v>2057</v>
      </c>
      <c r="FA19" s="30">
        <f t="shared" si="66"/>
        <v>4.6819338422391832E-2</v>
      </c>
      <c r="FB19" s="5">
        <v>246</v>
      </c>
      <c r="FC19" s="31">
        <f t="shared" si="80"/>
        <v>2.9288702928870203E-2</v>
      </c>
      <c r="FD19" s="8">
        <v>1965</v>
      </c>
      <c r="FE19" s="35">
        <f t="shared" si="67"/>
        <v>0.11331444759206799</v>
      </c>
      <c r="FF19" s="8">
        <v>239</v>
      </c>
      <c r="FG19" s="32">
        <f t="shared" si="81"/>
        <v>0.11682242990654212</v>
      </c>
      <c r="FH19" s="37">
        <v>1765</v>
      </c>
      <c r="FI19" s="36">
        <f t="shared" si="82"/>
        <v>0.16964877402253142</v>
      </c>
      <c r="FJ19" s="37">
        <v>214</v>
      </c>
      <c r="FK19" s="33">
        <f t="shared" si="83"/>
        <v>9.7435897435897534E-2</v>
      </c>
      <c r="FL19" s="9">
        <v>1509</v>
      </c>
      <c r="FM19" s="30">
        <f t="shared" si="83"/>
        <v>9.427121102248015E-2</v>
      </c>
      <c r="FN19" s="9">
        <v>195</v>
      </c>
      <c r="FO19" s="30">
        <f t="shared" si="85"/>
        <v>8.3333333333333259E-2</v>
      </c>
      <c r="FP19" s="9">
        <v>1379</v>
      </c>
      <c r="FQ19" s="31">
        <f t="shared" si="68"/>
        <v>0.13497942386831285</v>
      </c>
      <c r="FR19" s="9">
        <v>180</v>
      </c>
      <c r="FS19" s="31">
        <f t="shared" si="69"/>
        <v>0.19205298013245042</v>
      </c>
      <c r="FT19" s="9">
        <v>1215</v>
      </c>
      <c r="FU19" s="33">
        <f t="shared" si="84"/>
        <v>0.18421052631578938</v>
      </c>
      <c r="FV19" s="9">
        <v>151</v>
      </c>
      <c r="FW19" s="33">
        <f t="shared" si="86"/>
        <v>0.98684210526315796</v>
      </c>
      <c r="FX19" s="9">
        <v>1026</v>
      </c>
      <c r="FY19" s="11">
        <v>76</v>
      </c>
    </row>
    <row r="20" spans="2:181" s="5" customFormat="1" x14ac:dyDescent="0.2">
      <c r="B20" s="24" t="s">
        <v>11</v>
      </c>
      <c r="C20" s="25">
        <v>22794</v>
      </c>
      <c r="D20" s="26">
        <f t="shared" si="0"/>
        <v>4.583620096352381E-2</v>
      </c>
      <c r="E20" s="25">
        <f>1659+1088</f>
        <v>2747</v>
      </c>
      <c r="F20" s="26">
        <f t="shared" si="1"/>
        <v>1.7030729359496455E-2</v>
      </c>
      <c r="G20" s="25">
        <v>21795</v>
      </c>
      <c r="H20" s="29">
        <f t="shared" si="2"/>
        <v>6.1668858687710104E-2</v>
      </c>
      <c r="I20" s="25">
        <f>1614+1087</f>
        <v>2701</v>
      </c>
      <c r="J20" s="29">
        <f t="shared" si="3"/>
        <v>1.7709118311981964E-2</v>
      </c>
      <c r="K20" s="25">
        <v>20529</v>
      </c>
      <c r="L20" s="29">
        <f t="shared" si="4"/>
        <v>5.6942799773464392E-2</v>
      </c>
      <c r="M20" s="25">
        <f>1573+1081</f>
        <v>2654</v>
      </c>
      <c r="N20" s="27">
        <f t="shared" si="5"/>
        <v>1.4138326327856277E-2</v>
      </c>
      <c r="O20" s="25">
        <v>19423</v>
      </c>
      <c r="P20" s="26">
        <f t="shared" si="6"/>
        <v>2.7835106101497642E-2</v>
      </c>
      <c r="Q20" s="25">
        <f>1534+1083</f>
        <v>2617</v>
      </c>
      <c r="R20" s="26">
        <f t="shared" si="7"/>
        <v>1.6310679611650558E-2</v>
      </c>
      <c r="S20" s="25">
        <v>18897</v>
      </c>
      <c r="T20" s="29">
        <f t="shared" si="70"/>
        <v>4.5477178423236619E-2</v>
      </c>
      <c r="U20" s="25">
        <f>1495+1080</f>
        <v>2575</v>
      </c>
      <c r="V20" s="29">
        <f t="shared" si="8"/>
        <v>2.3856858846918572E-2</v>
      </c>
      <c r="W20" s="25">
        <v>18075</v>
      </c>
      <c r="X20" s="26">
        <f t="shared" si="71"/>
        <v>2.7514069694730248E-2</v>
      </c>
      <c r="Y20" s="25">
        <f>1441+1074</f>
        <v>2515</v>
      </c>
      <c r="Z20" s="26">
        <f t="shared" si="9"/>
        <v>1.2887635924285101E-2</v>
      </c>
      <c r="AA20" s="25">
        <v>17591</v>
      </c>
      <c r="AB20" s="29">
        <f t="shared" si="72"/>
        <v>3.9903050366516979E-2</v>
      </c>
      <c r="AC20" s="25">
        <v>2483</v>
      </c>
      <c r="AD20" s="29">
        <f t="shared" si="10"/>
        <v>1.4297385620914982E-2</v>
      </c>
      <c r="AE20" s="25">
        <v>16916</v>
      </c>
      <c r="AF20" s="38">
        <f t="shared" si="73"/>
        <v>3.5441023443716801E-2</v>
      </c>
      <c r="AG20" s="25">
        <f>1378+1070</f>
        <v>2448</v>
      </c>
      <c r="AH20" s="26">
        <f t="shared" si="11"/>
        <v>1.1988424968995437E-2</v>
      </c>
      <c r="AI20" s="25">
        <v>16337</v>
      </c>
      <c r="AJ20" s="28">
        <f t="shared" si="74"/>
        <v>4.5300403096807162E-2</v>
      </c>
      <c r="AK20" s="25">
        <f>1355+1064</f>
        <v>2419</v>
      </c>
      <c r="AL20" s="28">
        <f t="shared" si="12"/>
        <v>1.3830678960603526E-2</v>
      </c>
      <c r="AM20" s="7">
        <v>15629</v>
      </c>
      <c r="AN20" s="28">
        <f t="shared" si="75"/>
        <v>3.2844303462860269E-2</v>
      </c>
      <c r="AO20" s="5">
        <f>1325+1061</f>
        <v>2386</v>
      </c>
      <c r="AP20" s="29">
        <f t="shared" si="13"/>
        <v>1.0588733587463039E-2</v>
      </c>
      <c r="AQ20" s="5">
        <v>15132</v>
      </c>
      <c r="AR20" s="28">
        <f t="shared" si="14"/>
        <v>2.7360988526037078E-2</v>
      </c>
      <c r="AS20" s="5">
        <v>2361</v>
      </c>
      <c r="AT20" s="26">
        <f t="shared" si="15"/>
        <v>5.965061780996983E-3</v>
      </c>
      <c r="AU20" s="5">
        <v>14729</v>
      </c>
      <c r="AV20" s="29">
        <f t="shared" si="16"/>
        <v>2.6053639846743248E-2</v>
      </c>
      <c r="AW20" s="1">
        <f>1287+1060</f>
        <v>2347</v>
      </c>
      <c r="AX20" s="29">
        <f t="shared" si="17"/>
        <v>6.8640068640068996E-3</v>
      </c>
      <c r="AY20" s="1">
        <v>14355</v>
      </c>
      <c r="AZ20" s="27">
        <f t="shared" si="18"/>
        <v>2.1054129027669122E-2</v>
      </c>
      <c r="BA20" s="1">
        <f>1271+1060</f>
        <v>2331</v>
      </c>
      <c r="BB20" s="27">
        <f t="shared" si="19"/>
        <v>6.4766839378238572E-3</v>
      </c>
      <c r="BC20" s="5">
        <v>14059</v>
      </c>
      <c r="BD20" s="31">
        <f t="shared" si="20"/>
        <v>5.6602384807890482E-2</v>
      </c>
      <c r="BE20" s="5">
        <f>1257+1059</f>
        <v>2316</v>
      </c>
      <c r="BF20" s="31">
        <f t="shared" si="21"/>
        <v>7.3945193562419131E-3</v>
      </c>
      <c r="BG20" s="5">
        <v>13586</v>
      </c>
      <c r="BH20" s="33">
        <f t="shared" si="22"/>
        <v>5.9502456523434555E-2</v>
      </c>
      <c r="BI20" s="5">
        <f>1246+1053</f>
        <v>2299</v>
      </c>
      <c r="BJ20" s="33">
        <f t="shared" si="23"/>
        <v>2.8175313059034091E-2</v>
      </c>
      <c r="BK20" s="5">
        <v>12823</v>
      </c>
      <c r="BL20" s="30">
        <f t="shared" si="24"/>
        <v>2.7731025086158434E-2</v>
      </c>
      <c r="BM20" s="5">
        <f>1187+1049</f>
        <v>2236</v>
      </c>
      <c r="BN20" s="30">
        <f t="shared" si="25"/>
        <v>8.570139828597112E-3</v>
      </c>
      <c r="BO20" s="5">
        <v>12477</v>
      </c>
      <c r="BP20" s="31">
        <f t="shared" si="26"/>
        <v>3.526385662130771E-2</v>
      </c>
      <c r="BQ20" s="5">
        <f>1172+1045</f>
        <v>2217</v>
      </c>
      <c r="BR20" s="31">
        <f t="shared" si="27"/>
        <v>1.6040329972502265E-2</v>
      </c>
      <c r="BS20" s="5">
        <v>12052</v>
      </c>
      <c r="BT20" s="33">
        <f t="shared" si="28"/>
        <v>4.0670063034280224E-2</v>
      </c>
      <c r="BU20" s="5">
        <f>1140+1042</f>
        <v>2182</v>
      </c>
      <c r="BV20" s="32">
        <f t="shared" si="29"/>
        <v>3.9542639352072362E-2</v>
      </c>
      <c r="BW20" s="5">
        <v>11581</v>
      </c>
      <c r="BX20" s="30">
        <f t="shared" si="30"/>
        <v>2.6320453739808514E-2</v>
      </c>
      <c r="BY20" s="5">
        <f>1067+1032</f>
        <v>2099</v>
      </c>
      <c r="BZ20" s="33">
        <f t="shared" si="31"/>
        <v>1.9922254616132173E-2</v>
      </c>
      <c r="CA20" s="5">
        <v>11284</v>
      </c>
      <c r="CB20" s="31">
        <f t="shared" si="32"/>
        <v>3.656072019107115E-2</v>
      </c>
      <c r="CC20" s="5">
        <f>1025+1033</f>
        <v>2058</v>
      </c>
      <c r="CD20" s="31">
        <f t="shared" si="33"/>
        <v>1.0309278350515427E-2</v>
      </c>
      <c r="CE20" s="5">
        <v>10886</v>
      </c>
      <c r="CF20" s="32">
        <f t="shared" si="34"/>
        <v>4.5825727735613331E-2</v>
      </c>
      <c r="CG20" s="5">
        <v>2037</v>
      </c>
      <c r="CH20" s="30">
        <f t="shared" si="35"/>
        <v>1.0416666666666741E-2</v>
      </c>
      <c r="CI20" s="5">
        <v>10409</v>
      </c>
      <c r="CJ20" s="32">
        <f t="shared" si="36"/>
        <v>2.5416215151216726E-2</v>
      </c>
      <c r="CK20" s="5">
        <f>989+1027</f>
        <v>2016</v>
      </c>
      <c r="CL20" s="31">
        <f t="shared" si="37"/>
        <v>1.5617128463476071E-2</v>
      </c>
      <c r="CM20" s="5">
        <v>10151</v>
      </c>
      <c r="CN20" s="36">
        <f t="shared" si="38"/>
        <v>2.4422242405893524E-2</v>
      </c>
      <c r="CO20" s="5">
        <v>1985</v>
      </c>
      <c r="CP20" s="32">
        <f t="shared" si="39"/>
        <v>7.9978237214363368E-2</v>
      </c>
      <c r="CQ20" s="5">
        <v>9909</v>
      </c>
      <c r="CR20" s="31">
        <f t="shared" si="40"/>
        <v>2.3657024793388493E-2</v>
      </c>
      <c r="CS20" s="5">
        <f>961+877</f>
        <v>1838</v>
      </c>
      <c r="CT20" s="33">
        <f t="shared" si="41"/>
        <v>2.2246941045606317E-2</v>
      </c>
      <c r="CU20" s="5">
        <v>9680</v>
      </c>
      <c r="CV20" s="33">
        <f t="shared" si="42"/>
        <v>2.5423728813559254E-2</v>
      </c>
      <c r="CW20" s="5">
        <f>931+867</f>
        <v>1798</v>
      </c>
      <c r="CX20" s="31">
        <f t="shared" si="76"/>
        <v>8.4127874369039901E-3</v>
      </c>
      <c r="CY20" s="5">
        <v>9440</v>
      </c>
      <c r="CZ20" s="31">
        <f t="shared" si="43"/>
        <v>1.3636851712659714E-2</v>
      </c>
      <c r="DA20" s="5">
        <f>920+863</f>
        <v>1783</v>
      </c>
      <c r="DB20" s="33">
        <f t="shared" si="77"/>
        <v>1.1344299489506549E-2</v>
      </c>
      <c r="DC20" s="5">
        <v>9313</v>
      </c>
      <c r="DD20" s="33">
        <f t="shared" si="44"/>
        <v>5.9499431171786021E-2</v>
      </c>
      <c r="DE20" s="5">
        <v>1763</v>
      </c>
      <c r="DF20" s="31">
        <f t="shared" si="78"/>
        <v>9.7365406643756813E-3</v>
      </c>
      <c r="DG20" s="5">
        <v>8790</v>
      </c>
      <c r="DH20" s="31">
        <f t="shared" si="45"/>
        <v>3.631219052110346E-2</v>
      </c>
      <c r="DI20" s="8">
        <v>1746</v>
      </c>
      <c r="DJ20" s="33">
        <f t="shared" si="79"/>
        <v>0.97959183673469385</v>
      </c>
      <c r="DK20" s="34"/>
      <c r="DL20" s="8">
        <v>8482</v>
      </c>
      <c r="DM20" s="32">
        <f t="shared" si="46"/>
        <v>6.732100163583743E-2</v>
      </c>
      <c r="DN20" s="8">
        <v>882</v>
      </c>
      <c r="DO20" s="31">
        <f t="shared" si="47"/>
        <v>1.8475750577367167E-2</v>
      </c>
      <c r="DP20" s="8">
        <v>7947</v>
      </c>
      <c r="DQ20" s="33">
        <f t="shared" si="48"/>
        <v>6.1723446893787504E-2</v>
      </c>
      <c r="DR20" s="8">
        <v>866</v>
      </c>
      <c r="DS20" s="33">
        <f t="shared" si="49"/>
        <v>4.7158403869407506E-2</v>
      </c>
      <c r="DT20" s="8">
        <v>7485</v>
      </c>
      <c r="DU20" s="31">
        <f t="shared" si="50"/>
        <v>5.601015801354392E-2</v>
      </c>
      <c r="DV20" s="8">
        <v>827</v>
      </c>
      <c r="DW20" s="30">
        <f t="shared" si="51"/>
        <v>1.4723926380368013E-2</v>
      </c>
      <c r="DX20" s="5">
        <v>7088</v>
      </c>
      <c r="DY20" s="33">
        <f t="shared" si="52"/>
        <v>7.7694997719324865E-2</v>
      </c>
      <c r="DZ20" s="5">
        <v>815</v>
      </c>
      <c r="EA20" s="30">
        <f t="shared" si="53"/>
        <v>1.8750000000000044E-2</v>
      </c>
      <c r="EB20" s="5">
        <v>6577</v>
      </c>
      <c r="EC20" s="30">
        <f t="shared" si="54"/>
        <v>6.4584007769504792E-2</v>
      </c>
      <c r="ED20" s="5">
        <v>800</v>
      </c>
      <c r="EE20" s="30">
        <f t="shared" si="55"/>
        <v>3.6269430051813378E-2</v>
      </c>
      <c r="EF20" s="5">
        <v>6178</v>
      </c>
      <c r="EG20" s="31">
        <f t="shared" si="56"/>
        <v>8.6146272855133654E-2</v>
      </c>
      <c r="EH20" s="5">
        <v>772</v>
      </c>
      <c r="EI20" s="31">
        <f t="shared" si="57"/>
        <v>5.6087551299589533E-2</v>
      </c>
      <c r="EJ20" s="5">
        <v>5688</v>
      </c>
      <c r="EK20" s="32">
        <f t="shared" si="58"/>
        <v>0.11311154598825834</v>
      </c>
      <c r="EL20" s="5">
        <v>731</v>
      </c>
      <c r="EM20" s="36">
        <f t="shared" si="59"/>
        <v>7.4999999999999956E-2</v>
      </c>
      <c r="EN20" s="5">
        <v>5110</v>
      </c>
      <c r="EO20" s="33">
        <f t="shared" si="60"/>
        <v>9.9634172584463165E-2</v>
      </c>
      <c r="EP20" s="5">
        <v>680</v>
      </c>
      <c r="EQ20" s="35">
        <f t="shared" si="61"/>
        <v>6.4162754303599412E-2</v>
      </c>
      <c r="ER20" s="5">
        <v>4647</v>
      </c>
      <c r="ES20" s="31">
        <f t="shared" si="62"/>
        <v>8.3722014925373234E-2</v>
      </c>
      <c r="ET20" s="5">
        <v>639</v>
      </c>
      <c r="EU20" s="36">
        <f t="shared" si="63"/>
        <v>9.7938144329897003E-2</v>
      </c>
      <c r="EV20" s="5">
        <v>4288</v>
      </c>
      <c r="EW20" s="33">
        <f t="shared" si="64"/>
        <v>0.15579514824797847</v>
      </c>
      <c r="EX20" s="5">
        <v>582</v>
      </c>
      <c r="EY20" s="30">
        <f t="shared" si="65"/>
        <v>3.9285714285714368E-2</v>
      </c>
      <c r="EZ20" s="5">
        <v>3710</v>
      </c>
      <c r="FA20" s="30">
        <f t="shared" si="66"/>
        <v>0.11244377811094464</v>
      </c>
      <c r="FB20" s="5">
        <v>560</v>
      </c>
      <c r="FC20" s="30">
        <f t="shared" si="80"/>
        <v>6.4638783269961975E-2</v>
      </c>
      <c r="FD20" s="8">
        <v>3335</v>
      </c>
      <c r="FE20" s="35">
        <f t="shared" si="67"/>
        <v>0.18220489188231115</v>
      </c>
      <c r="FF20" s="8">
        <v>526</v>
      </c>
      <c r="FG20" s="30">
        <f t="shared" si="81"/>
        <v>8.2304526748971263E-2</v>
      </c>
      <c r="FH20" s="37">
        <v>2821</v>
      </c>
      <c r="FI20" s="36">
        <f t="shared" si="82"/>
        <v>0.26219239373601799</v>
      </c>
      <c r="FJ20" s="37">
        <v>486</v>
      </c>
      <c r="FK20" s="31">
        <f t="shared" si="83"/>
        <v>0.1198156682027649</v>
      </c>
      <c r="FL20" s="8">
        <v>2235</v>
      </c>
      <c r="FM20" s="31">
        <f t="shared" si="83"/>
        <v>0.17941952506596315</v>
      </c>
      <c r="FN20" s="8">
        <v>434</v>
      </c>
      <c r="FO20" s="33">
        <f t="shared" si="85"/>
        <v>0.15733333333333333</v>
      </c>
      <c r="FP20" s="8">
        <v>1895</v>
      </c>
      <c r="FQ20" s="32">
        <f t="shared" si="68"/>
        <v>0.24018324607329844</v>
      </c>
      <c r="FR20" s="8">
        <v>375</v>
      </c>
      <c r="FS20" s="31">
        <f t="shared" si="69"/>
        <v>0.11275964391691384</v>
      </c>
      <c r="FT20" s="8">
        <v>1528</v>
      </c>
      <c r="FU20" s="33">
        <f t="shared" si="84"/>
        <v>0.17628945342571201</v>
      </c>
      <c r="FV20" s="8">
        <v>337</v>
      </c>
      <c r="FW20" s="33">
        <f t="shared" si="86"/>
        <v>0.33730158730158721</v>
      </c>
      <c r="FX20" s="8">
        <v>1299</v>
      </c>
      <c r="FY20" s="39">
        <v>252</v>
      </c>
    </row>
    <row r="21" spans="2:181" x14ac:dyDescent="0.2">
      <c r="B21" s="24" t="s">
        <v>12</v>
      </c>
      <c r="C21" s="25">
        <v>4509</v>
      </c>
      <c r="D21" s="26">
        <f t="shared" si="0"/>
        <v>1.39419833595682E-2</v>
      </c>
      <c r="E21" s="25">
        <v>47</v>
      </c>
      <c r="F21" s="26">
        <f t="shared" si="1"/>
        <v>4.4444444444444509E-2</v>
      </c>
      <c r="G21" s="25">
        <v>4447</v>
      </c>
      <c r="H21" s="194">
        <f t="shared" si="2"/>
        <v>1.4370437956204407E-2</v>
      </c>
      <c r="I21" s="25">
        <v>45</v>
      </c>
      <c r="J21" s="29">
        <f t="shared" si="3"/>
        <v>9.7560975609756184E-2</v>
      </c>
      <c r="K21" s="25">
        <v>4384</v>
      </c>
      <c r="L21" s="29">
        <f t="shared" si="4"/>
        <v>1.2003693444136765E-2</v>
      </c>
      <c r="M21" s="25">
        <v>41</v>
      </c>
      <c r="N21" s="27">
        <f t="shared" si="5"/>
        <v>0</v>
      </c>
      <c r="O21" s="1">
        <v>4332</v>
      </c>
      <c r="P21" s="26">
        <f t="shared" si="6"/>
        <v>6.739484080873881E-3</v>
      </c>
      <c r="Q21" s="25">
        <v>41</v>
      </c>
      <c r="R21" s="27">
        <f t="shared" si="7"/>
        <v>0</v>
      </c>
      <c r="S21" s="25">
        <v>4303</v>
      </c>
      <c r="T21" s="29">
        <f t="shared" si="70"/>
        <v>1.6056670602125234E-2</v>
      </c>
      <c r="U21" s="25">
        <v>41</v>
      </c>
      <c r="V21" s="26">
        <f t="shared" si="8"/>
        <v>0</v>
      </c>
      <c r="W21" s="25">
        <v>4235</v>
      </c>
      <c r="X21" s="27">
        <f t="shared" si="71"/>
        <v>8.8137208194378758E-3</v>
      </c>
      <c r="Y21" s="25">
        <v>41</v>
      </c>
      <c r="Z21" s="29">
        <f t="shared" si="9"/>
        <v>5.1282051282051322E-2</v>
      </c>
      <c r="AA21" s="25">
        <v>4198</v>
      </c>
      <c r="AB21" s="26">
        <f t="shared" si="72"/>
        <v>2.1162734127949445E-2</v>
      </c>
      <c r="AC21" s="25">
        <v>39</v>
      </c>
      <c r="AD21" s="26">
        <f t="shared" si="10"/>
        <v>2.6315789473684292E-2</v>
      </c>
      <c r="AE21" s="25">
        <v>4111</v>
      </c>
      <c r="AF21" s="38">
        <f t="shared" si="73"/>
        <v>2.7236381809095489E-2</v>
      </c>
      <c r="AG21" s="25">
        <v>38</v>
      </c>
      <c r="AH21" s="29">
        <f t="shared" si="11"/>
        <v>2.7027027027026973E-2</v>
      </c>
      <c r="AI21" s="25">
        <v>4002</v>
      </c>
      <c r="AJ21" s="28">
        <f t="shared" si="74"/>
        <v>4.5454545454545414E-2</v>
      </c>
      <c r="AK21" s="25">
        <v>37</v>
      </c>
      <c r="AL21" s="26">
        <f t="shared" si="12"/>
        <v>0</v>
      </c>
      <c r="AM21" s="7">
        <v>3828</v>
      </c>
      <c r="AN21" s="29">
        <f t="shared" si="75"/>
        <v>2.8755710830421943E-2</v>
      </c>
      <c r="AO21" s="5">
        <v>37</v>
      </c>
      <c r="AP21" s="29">
        <f t="shared" si="13"/>
        <v>2.7777777777777679E-2</v>
      </c>
      <c r="AQ21" s="5">
        <v>3721</v>
      </c>
      <c r="AR21" s="27">
        <f t="shared" si="14"/>
        <v>2.478656017626002E-2</v>
      </c>
      <c r="AS21" s="5">
        <v>36</v>
      </c>
      <c r="AT21" s="26">
        <f t="shared" si="15"/>
        <v>0</v>
      </c>
      <c r="AU21" s="5">
        <v>3631</v>
      </c>
      <c r="AV21" s="27">
        <f t="shared" si="16"/>
        <v>2.5416548997458266E-2</v>
      </c>
      <c r="AW21" s="1">
        <v>36</v>
      </c>
      <c r="AX21" s="29">
        <f t="shared" si="17"/>
        <v>2.857142857142847E-2</v>
      </c>
      <c r="AY21" s="1">
        <v>3541</v>
      </c>
      <c r="AZ21" s="26">
        <f t="shared" si="18"/>
        <v>3.4774985388661639E-2</v>
      </c>
      <c r="BA21" s="1">
        <v>35</v>
      </c>
      <c r="BB21" s="27">
        <f t="shared" si="19"/>
        <v>0</v>
      </c>
      <c r="BC21" s="5">
        <v>3422</v>
      </c>
      <c r="BD21" s="32">
        <f t="shared" si="20"/>
        <v>5.7646356033452806E-2</v>
      </c>
      <c r="BE21" s="5">
        <v>35</v>
      </c>
      <c r="BF21" s="30">
        <f t="shared" si="21"/>
        <v>2.9411764705882248E-2</v>
      </c>
      <c r="BG21" s="5">
        <v>3348</v>
      </c>
      <c r="BH21" s="32">
        <f t="shared" si="22"/>
        <v>2.0109689213893889E-2</v>
      </c>
      <c r="BI21" s="5">
        <v>34</v>
      </c>
      <c r="BJ21" s="31">
        <f t="shared" si="23"/>
        <v>0.17241379310344818</v>
      </c>
      <c r="BK21" s="5">
        <v>3282</v>
      </c>
      <c r="BL21" s="32">
        <f t="shared" si="24"/>
        <v>1.4215080346106301E-2</v>
      </c>
      <c r="BM21" s="5">
        <v>29</v>
      </c>
      <c r="BN21" s="32">
        <f t="shared" si="25"/>
        <v>0.20833333333333326</v>
      </c>
      <c r="BO21" s="5">
        <v>3236</v>
      </c>
      <c r="BP21" s="42">
        <f t="shared" si="26"/>
        <v>2.9589564110722222E-2</v>
      </c>
      <c r="BQ21" s="5">
        <v>24</v>
      </c>
      <c r="BR21" s="33">
        <f t="shared" si="27"/>
        <v>9.0909090909090828E-2</v>
      </c>
      <c r="BS21" s="5">
        <v>3143</v>
      </c>
      <c r="BT21" s="33">
        <f t="shared" si="28"/>
        <v>2.3778501628664461E-2</v>
      </c>
      <c r="BU21" s="5">
        <v>22</v>
      </c>
      <c r="BV21" s="30">
        <f t="shared" si="29"/>
        <v>0</v>
      </c>
      <c r="BW21" s="5">
        <v>3070</v>
      </c>
      <c r="BX21" s="31">
        <f t="shared" si="30"/>
        <v>2.0611702127659504E-2</v>
      </c>
      <c r="BY21" s="5">
        <v>22</v>
      </c>
      <c r="BZ21" s="30">
        <f t="shared" si="31"/>
        <v>0</v>
      </c>
      <c r="CA21" s="5">
        <v>3008</v>
      </c>
      <c r="CB21" s="33">
        <f t="shared" si="32"/>
        <v>2.837606837606832E-2</v>
      </c>
      <c r="CC21" s="5">
        <v>22</v>
      </c>
      <c r="CD21" s="30">
        <f t="shared" si="33"/>
        <v>0</v>
      </c>
      <c r="CE21" s="5">
        <v>2925</v>
      </c>
      <c r="CF21" s="31">
        <f t="shared" si="34"/>
        <v>1.5625E-2</v>
      </c>
      <c r="CG21" s="5">
        <v>22</v>
      </c>
      <c r="CH21" s="30">
        <f t="shared" si="35"/>
        <v>0</v>
      </c>
      <c r="CI21" s="5">
        <v>2880</v>
      </c>
      <c r="CJ21" s="33">
        <f t="shared" si="36"/>
        <v>2.2727272727272707E-2</v>
      </c>
      <c r="CK21" s="5">
        <v>22</v>
      </c>
      <c r="CL21" s="30">
        <f t="shared" si="37"/>
        <v>0</v>
      </c>
      <c r="CM21" s="5">
        <v>2816</v>
      </c>
      <c r="CN21" s="30">
        <f t="shared" si="38"/>
        <v>2.0289855072463725E-2</v>
      </c>
      <c r="CO21" s="5">
        <v>22</v>
      </c>
      <c r="CP21" s="33">
        <f t="shared" si="39"/>
        <v>4.7619047619047672E-2</v>
      </c>
      <c r="CQ21" s="5">
        <v>2760</v>
      </c>
      <c r="CR21" s="30">
        <f t="shared" si="40"/>
        <v>2.0332717190388205E-2</v>
      </c>
      <c r="CS21" s="5">
        <f>21</f>
        <v>21</v>
      </c>
      <c r="CT21" s="30">
        <f t="shared" si="41"/>
        <v>0</v>
      </c>
      <c r="CU21" s="5">
        <v>2705</v>
      </c>
      <c r="CV21" s="31">
        <f t="shared" si="42"/>
        <v>2.1911598035511792E-2</v>
      </c>
      <c r="CW21" s="5">
        <v>21</v>
      </c>
      <c r="CX21" s="31">
        <f t="shared" si="76"/>
        <v>5.0000000000000044E-2</v>
      </c>
      <c r="CY21" s="5">
        <v>2647</v>
      </c>
      <c r="CZ21" s="33">
        <f t="shared" si="43"/>
        <v>2.6764934057408762E-2</v>
      </c>
      <c r="DA21" s="5">
        <v>20</v>
      </c>
      <c r="DB21" s="33">
        <f t="shared" si="77"/>
        <v>5.2631578947368363E-2</v>
      </c>
      <c r="DC21" s="5">
        <v>2578</v>
      </c>
      <c r="DD21" s="30">
        <f t="shared" si="44"/>
        <v>2.0990099009901009E-2</v>
      </c>
      <c r="DE21" s="5">
        <v>19</v>
      </c>
      <c r="DF21" s="30">
        <f t="shared" si="78"/>
        <v>0</v>
      </c>
      <c r="DG21" s="5">
        <v>2525</v>
      </c>
      <c r="DH21" s="30">
        <f t="shared" si="45"/>
        <v>2.3510336441021407E-2</v>
      </c>
      <c r="DI21" s="8">
        <v>19</v>
      </c>
      <c r="DJ21" s="30">
        <f t="shared" si="79"/>
        <v>0</v>
      </c>
      <c r="DK21" s="34"/>
      <c r="DL21" s="8">
        <v>2467</v>
      </c>
      <c r="DM21" s="31">
        <f t="shared" si="46"/>
        <v>2.8773978315262738E-2</v>
      </c>
      <c r="DN21" s="8">
        <v>19</v>
      </c>
      <c r="DO21" s="30">
        <f t="shared" si="47"/>
        <v>5.555555555555558E-2</v>
      </c>
      <c r="DP21" s="8">
        <v>2398</v>
      </c>
      <c r="DQ21" s="33">
        <f t="shared" si="48"/>
        <v>5.4993400791905067E-2</v>
      </c>
      <c r="DR21" s="8">
        <v>18</v>
      </c>
      <c r="DS21" s="30">
        <f t="shared" si="49"/>
        <v>5.8823529411764719E-2</v>
      </c>
      <c r="DT21" s="8">
        <v>2273</v>
      </c>
      <c r="DU21" s="30">
        <f t="shared" si="50"/>
        <v>4.4577205882353033E-2</v>
      </c>
      <c r="DV21" s="8">
        <v>17</v>
      </c>
      <c r="DW21" s="31">
        <f t="shared" si="51"/>
        <v>6.25E-2</v>
      </c>
      <c r="DX21" s="5">
        <v>2176</v>
      </c>
      <c r="DY21" s="30">
        <f t="shared" si="52"/>
        <v>5.8365758754863828E-2</v>
      </c>
      <c r="DZ21" s="5">
        <v>16</v>
      </c>
      <c r="EA21" s="33">
        <f t="shared" si="53"/>
        <v>0.14285714285714279</v>
      </c>
      <c r="EB21" s="5">
        <v>2056</v>
      </c>
      <c r="EC21" s="30">
        <f t="shared" si="54"/>
        <v>8.8983050847457612E-2</v>
      </c>
      <c r="ED21" s="5">
        <v>14</v>
      </c>
      <c r="EE21" s="33">
        <f t="shared" si="55"/>
        <v>7.6923076923076872E-2</v>
      </c>
      <c r="EF21" s="5">
        <v>1888</v>
      </c>
      <c r="EG21" s="30">
        <f t="shared" si="56"/>
        <v>0.1874213836477987</v>
      </c>
      <c r="EH21" s="5">
        <v>13</v>
      </c>
      <c r="EI21" s="30">
        <f t="shared" si="57"/>
        <v>0</v>
      </c>
      <c r="EJ21" s="5">
        <v>1590</v>
      </c>
      <c r="EK21" s="30">
        <f t="shared" si="58"/>
        <v>0.23639191290824257</v>
      </c>
      <c r="EL21" s="5">
        <v>13</v>
      </c>
      <c r="EM21" s="35">
        <f t="shared" si="59"/>
        <v>0</v>
      </c>
      <c r="EN21" s="5">
        <v>1286</v>
      </c>
      <c r="EO21" s="30">
        <f t="shared" si="60"/>
        <v>0.28600000000000003</v>
      </c>
      <c r="EP21" s="5">
        <v>13</v>
      </c>
      <c r="EQ21" s="36">
        <f t="shared" si="61"/>
        <v>0.18181818181818188</v>
      </c>
      <c r="ER21" s="5">
        <v>1000</v>
      </c>
      <c r="ES21" s="31">
        <f t="shared" si="62"/>
        <v>0.31926121372031657</v>
      </c>
      <c r="ET21" s="5">
        <v>11</v>
      </c>
      <c r="EU21" s="30">
        <f t="shared" si="63"/>
        <v>0.10000000000000009</v>
      </c>
      <c r="EV21" s="5">
        <v>758</v>
      </c>
      <c r="EW21" s="33">
        <f t="shared" si="64"/>
        <v>0.8004750593824228</v>
      </c>
      <c r="EX21" s="5">
        <v>10</v>
      </c>
      <c r="EY21" s="30">
        <f t="shared" si="65"/>
        <v>0.11111111111111116</v>
      </c>
      <c r="EZ21" s="5">
        <v>421</v>
      </c>
      <c r="FA21" s="30">
        <f t="shared" si="66"/>
        <v>0.44178082191780832</v>
      </c>
      <c r="FB21" s="5">
        <v>9</v>
      </c>
      <c r="FC21" s="30">
        <f t="shared" si="80"/>
        <v>0.125</v>
      </c>
      <c r="FD21" s="8">
        <v>292</v>
      </c>
      <c r="FE21" s="35">
        <f t="shared" si="67"/>
        <v>0.63128491620111737</v>
      </c>
      <c r="FF21" s="8">
        <v>8</v>
      </c>
      <c r="FG21" s="35">
        <f t="shared" si="81"/>
        <v>0.33333333333333326</v>
      </c>
      <c r="FH21" s="37">
        <v>179</v>
      </c>
      <c r="FI21" s="36">
        <f t="shared" si="82"/>
        <v>0.7047619047619047</v>
      </c>
      <c r="FJ21" s="37">
        <v>6</v>
      </c>
      <c r="FK21" s="33">
        <f t="shared" si="83"/>
        <v>1</v>
      </c>
      <c r="FL21" s="9">
        <v>105</v>
      </c>
      <c r="FM21" s="30">
        <f t="shared" si="83"/>
        <v>0.14130434782608692</v>
      </c>
      <c r="FN21" s="9">
        <v>3</v>
      </c>
      <c r="FO21" s="35">
        <f t="shared" si="85"/>
        <v>0.5</v>
      </c>
      <c r="FP21" s="9">
        <v>92</v>
      </c>
      <c r="FQ21" s="31">
        <f t="shared" si="68"/>
        <v>0.4375</v>
      </c>
      <c r="FR21" s="9">
        <v>2</v>
      </c>
      <c r="FS21" s="33">
        <f t="shared" si="69"/>
        <v>1</v>
      </c>
      <c r="FT21" s="9">
        <v>64</v>
      </c>
      <c r="FU21" s="33">
        <f t="shared" si="84"/>
        <v>0.45454545454545459</v>
      </c>
      <c r="FV21" s="9">
        <v>1</v>
      </c>
      <c r="FW21" s="35">
        <f t="shared" si="86"/>
        <v>0</v>
      </c>
      <c r="FX21" s="9">
        <v>44</v>
      </c>
      <c r="FY21" s="11">
        <v>1</v>
      </c>
    </row>
    <row r="22" spans="2:181" x14ac:dyDescent="0.2">
      <c r="B22" s="40" t="s">
        <v>13</v>
      </c>
      <c r="C22" s="25">
        <v>2277</v>
      </c>
      <c r="D22" s="27">
        <f t="shared" si="0"/>
        <v>1.4253897550111416E-2</v>
      </c>
      <c r="E22" s="25">
        <v>90</v>
      </c>
      <c r="F22" s="29">
        <f t="shared" si="1"/>
        <v>3.4482758620689724E-2</v>
      </c>
      <c r="G22" s="25">
        <v>2245</v>
      </c>
      <c r="H22" s="26">
        <f t="shared" si="2"/>
        <v>2.6989935956084121E-2</v>
      </c>
      <c r="I22" s="25">
        <v>87</v>
      </c>
      <c r="J22" s="26">
        <f t="shared" si="3"/>
        <v>0</v>
      </c>
      <c r="K22" s="25">
        <v>2186</v>
      </c>
      <c r="L22" s="29">
        <f t="shared" si="4"/>
        <v>3.5037878787878896E-2</v>
      </c>
      <c r="M22" s="25">
        <v>87</v>
      </c>
      <c r="N22" s="29">
        <f t="shared" si="5"/>
        <v>4.8192771084337283E-2</v>
      </c>
      <c r="O22" s="25">
        <v>2112</v>
      </c>
      <c r="P22" s="26">
        <f t="shared" si="6"/>
        <v>2.4745269286754024E-2</v>
      </c>
      <c r="Q22" s="25">
        <v>83</v>
      </c>
      <c r="R22" s="27">
        <f t="shared" si="7"/>
        <v>0</v>
      </c>
      <c r="S22" s="25">
        <v>2061</v>
      </c>
      <c r="T22" s="29">
        <f t="shared" si="70"/>
        <v>4.354430379746832E-2</v>
      </c>
      <c r="U22" s="25">
        <v>83</v>
      </c>
      <c r="V22" s="27">
        <f t="shared" si="8"/>
        <v>0</v>
      </c>
      <c r="W22" s="25">
        <v>1975</v>
      </c>
      <c r="X22" s="27">
        <f t="shared" si="71"/>
        <v>1.1264720942140372E-2</v>
      </c>
      <c r="Y22" s="25">
        <v>83</v>
      </c>
      <c r="Z22" s="27">
        <f t="shared" si="9"/>
        <v>0</v>
      </c>
      <c r="AA22" s="25">
        <v>1953</v>
      </c>
      <c r="AB22" s="27">
        <f t="shared" si="72"/>
        <v>3.4427966101694851E-2</v>
      </c>
      <c r="AC22" s="25">
        <v>83</v>
      </c>
      <c r="AD22" s="27">
        <f t="shared" si="10"/>
        <v>0</v>
      </c>
      <c r="AE22" s="25">
        <v>1888</v>
      </c>
      <c r="AF22" s="38">
        <f t="shared" si="73"/>
        <v>3.4520547945205537E-2</v>
      </c>
      <c r="AG22" s="25">
        <v>83</v>
      </c>
      <c r="AH22" s="26">
        <f t="shared" si="11"/>
        <v>1.2195121951219523E-2</v>
      </c>
      <c r="AI22" s="25">
        <v>1825</v>
      </c>
      <c r="AJ22" s="28">
        <f t="shared" si="74"/>
        <v>4.2857142857142927E-2</v>
      </c>
      <c r="AK22" s="25">
        <v>82</v>
      </c>
      <c r="AL22" s="29">
        <f t="shared" si="12"/>
        <v>1.2345679012345734E-2</v>
      </c>
      <c r="AM22" s="7">
        <v>1750</v>
      </c>
      <c r="AN22" s="28">
        <f t="shared" si="75"/>
        <v>3.3057851239669311E-2</v>
      </c>
      <c r="AO22" s="5">
        <v>81</v>
      </c>
      <c r="AP22" s="26">
        <f t="shared" si="13"/>
        <v>0</v>
      </c>
      <c r="AQ22" s="5">
        <v>1694</v>
      </c>
      <c r="AR22" s="29">
        <f t="shared" si="14"/>
        <v>2.2329511164755678E-2</v>
      </c>
      <c r="AS22" s="5">
        <v>81</v>
      </c>
      <c r="AT22" s="28">
        <f t="shared" si="15"/>
        <v>3.8461538461538547E-2</v>
      </c>
      <c r="AU22" s="5">
        <v>1657</v>
      </c>
      <c r="AV22" s="27">
        <f t="shared" si="16"/>
        <v>1.5941140404659659E-2</v>
      </c>
      <c r="AW22" s="1">
        <v>78</v>
      </c>
      <c r="AX22" s="29">
        <f t="shared" si="17"/>
        <v>1.298701298701288E-2</v>
      </c>
      <c r="AY22" s="1">
        <v>1631</v>
      </c>
      <c r="AZ22" s="27">
        <f t="shared" si="18"/>
        <v>1.6832917705735584E-2</v>
      </c>
      <c r="BA22" s="1">
        <v>77</v>
      </c>
      <c r="BB22" s="27">
        <f t="shared" si="19"/>
        <v>0</v>
      </c>
      <c r="BC22" s="5">
        <v>1604</v>
      </c>
      <c r="BD22" s="31">
        <f t="shared" si="20"/>
        <v>3.6213468869123355E-2</v>
      </c>
      <c r="BE22" s="5">
        <v>77</v>
      </c>
      <c r="BF22" s="30">
        <f t="shared" si="21"/>
        <v>0</v>
      </c>
      <c r="BG22" s="5">
        <v>1574</v>
      </c>
      <c r="BH22" s="32">
        <f t="shared" si="22"/>
        <v>2.6075619295958363E-2</v>
      </c>
      <c r="BI22" s="5">
        <v>77</v>
      </c>
      <c r="BJ22" s="30">
        <f t="shared" si="23"/>
        <v>0</v>
      </c>
      <c r="BK22" s="5">
        <v>1534</v>
      </c>
      <c r="BL22" s="32">
        <f t="shared" si="24"/>
        <v>1.9269102990033149E-2</v>
      </c>
      <c r="BM22" s="5">
        <v>77</v>
      </c>
      <c r="BN22" s="31">
        <f t="shared" si="25"/>
        <v>0</v>
      </c>
      <c r="BO22" s="5">
        <v>1505</v>
      </c>
      <c r="BP22" s="33">
        <f t="shared" si="26"/>
        <v>2.0338983050847359E-2</v>
      </c>
      <c r="BQ22" s="5">
        <v>77</v>
      </c>
      <c r="BR22" s="33">
        <f t="shared" si="27"/>
        <v>1.3157894736842035E-2</v>
      </c>
      <c r="BS22" s="5">
        <v>1475</v>
      </c>
      <c r="BT22" s="31">
        <f t="shared" si="28"/>
        <v>1.1659807956104329E-2</v>
      </c>
      <c r="BU22" s="5">
        <v>76</v>
      </c>
      <c r="BV22" s="30">
        <f t="shared" si="29"/>
        <v>0</v>
      </c>
      <c r="BW22" s="5">
        <v>1458</v>
      </c>
      <c r="BX22" s="32">
        <f t="shared" si="30"/>
        <v>1.2499999999999956E-2</v>
      </c>
      <c r="BY22" s="5">
        <v>76</v>
      </c>
      <c r="BZ22" s="30">
        <f t="shared" si="31"/>
        <v>0</v>
      </c>
      <c r="CA22" s="5">
        <v>1440</v>
      </c>
      <c r="CB22" s="33">
        <f t="shared" si="32"/>
        <v>9.817671809256634E-3</v>
      </c>
      <c r="CC22" s="5">
        <v>76</v>
      </c>
      <c r="CD22" s="30">
        <f t="shared" si="33"/>
        <v>0</v>
      </c>
      <c r="CE22" s="5">
        <v>1426</v>
      </c>
      <c r="CF22" s="31">
        <f t="shared" si="34"/>
        <v>9.2002830856334761E-3</v>
      </c>
      <c r="CG22" s="5">
        <v>76</v>
      </c>
      <c r="CH22" s="30">
        <f t="shared" si="35"/>
        <v>0</v>
      </c>
      <c r="CI22" s="5">
        <v>1413</v>
      </c>
      <c r="CJ22" s="33">
        <f t="shared" si="36"/>
        <v>1.5815959741193319E-2</v>
      </c>
      <c r="CK22" s="5">
        <v>76</v>
      </c>
      <c r="CL22" s="30">
        <f t="shared" si="37"/>
        <v>0</v>
      </c>
      <c r="CM22" s="5">
        <v>1391</v>
      </c>
      <c r="CN22" s="35">
        <f t="shared" si="38"/>
        <v>1.0167029774872827E-2</v>
      </c>
      <c r="CO22" s="5">
        <v>76</v>
      </c>
      <c r="CP22" s="33">
        <f t="shared" si="39"/>
        <v>4.1095890410958846E-2</v>
      </c>
      <c r="CQ22" s="5">
        <v>1377</v>
      </c>
      <c r="CR22" s="33">
        <f t="shared" si="40"/>
        <v>5.9230769230769198E-2</v>
      </c>
      <c r="CS22" s="5">
        <f>73</f>
        <v>73</v>
      </c>
      <c r="CT22" s="30">
        <f t="shared" si="41"/>
        <v>1.388888888888884E-2</v>
      </c>
      <c r="CU22" s="5">
        <v>1300</v>
      </c>
      <c r="CV22" s="31">
        <f t="shared" si="42"/>
        <v>3.1746031746031855E-2</v>
      </c>
      <c r="CW22" s="5">
        <v>72</v>
      </c>
      <c r="CX22" s="31">
        <f t="shared" si="76"/>
        <v>2.857142857142847E-2</v>
      </c>
      <c r="CY22" s="5">
        <v>1260</v>
      </c>
      <c r="CZ22" s="33">
        <f t="shared" si="43"/>
        <v>4.4776119402984982E-2</v>
      </c>
      <c r="DA22" s="5">
        <v>70</v>
      </c>
      <c r="DB22" s="33">
        <f t="shared" si="77"/>
        <v>4.4776119402984982E-2</v>
      </c>
      <c r="DC22" s="5">
        <v>1206</v>
      </c>
      <c r="DD22" s="33">
        <f t="shared" si="44"/>
        <v>2.5510204081632626E-2</v>
      </c>
      <c r="DE22" s="5">
        <v>67</v>
      </c>
      <c r="DF22" s="30">
        <f t="shared" si="78"/>
        <v>3.076923076923066E-2</v>
      </c>
      <c r="DG22" s="5">
        <v>1176</v>
      </c>
      <c r="DH22" s="30">
        <f t="shared" si="45"/>
        <v>1.9947961838681749E-2</v>
      </c>
      <c r="DI22" s="8">
        <v>65</v>
      </c>
      <c r="DJ22" s="31">
        <f t="shared" si="79"/>
        <v>4.8387096774193505E-2</v>
      </c>
      <c r="DK22" s="34"/>
      <c r="DL22" s="8">
        <v>1153</v>
      </c>
      <c r="DM22" s="31">
        <f t="shared" si="46"/>
        <v>2.7629233511586415E-2</v>
      </c>
      <c r="DN22" s="8">
        <v>62</v>
      </c>
      <c r="DO22" s="33">
        <f t="shared" si="47"/>
        <v>0.10714285714285721</v>
      </c>
      <c r="DP22" s="8">
        <v>1122</v>
      </c>
      <c r="DQ22" s="33">
        <f t="shared" si="48"/>
        <v>0.11199207135778</v>
      </c>
      <c r="DR22" s="8">
        <v>56</v>
      </c>
      <c r="DS22" s="33">
        <f t="shared" si="49"/>
        <v>5.6603773584905648E-2</v>
      </c>
      <c r="DT22" s="8">
        <v>1009</v>
      </c>
      <c r="DU22" s="30">
        <f t="shared" si="50"/>
        <v>3.1697341513292399E-2</v>
      </c>
      <c r="DV22" s="8">
        <v>53</v>
      </c>
      <c r="DW22" s="31">
        <f t="shared" si="51"/>
        <v>3.9215686274509887E-2</v>
      </c>
      <c r="DX22" s="5">
        <v>978</v>
      </c>
      <c r="DY22" s="30">
        <f t="shared" si="52"/>
        <v>3.2734952481520585E-2</v>
      </c>
      <c r="DZ22" s="5">
        <v>51</v>
      </c>
      <c r="EA22" s="33">
        <f t="shared" si="53"/>
        <v>4.081632653061229E-2</v>
      </c>
      <c r="EB22" s="5">
        <v>947</v>
      </c>
      <c r="EC22" s="30">
        <f t="shared" si="54"/>
        <v>6.1659192825112008E-2</v>
      </c>
      <c r="ED22" s="5">
        <v>49</v>
      </c>
      <c r="EE22" s="33">
        <f t="shared" si="55"/>
        <v>2.0833333333333259E-2</v>
      </c>
      <c r="EF22" s="5">
        <v>892</v>
      </c>
      <c r="EG22" s="31">
        <f t="shared" si="56"/>
        <v>9.5823095823095894E-2</v>
      </c>
      <c r="EH22" s="5">
        <v>48</v>
      </c>
      <c r="EI22" s="31">
        <f t="shared" si="57"/>
        <v>0</v>
      </c>
      <c r="EJ22" s="5">
        <v>814</v>
      </c>
      <c r="EK22" s="33">
        <f t="shared" si="58"/>
        <v>0.1212121212121211</v>
      </c>
      <c r="EL22" s="5">
        <v>48</v>
      </c>
      <c r="EM22" s="36">
        <f t="shared" si="59"/>
        <v>0.14285714285714279</v>
      </c>
      <c r="EN22" s="5">
        <v>726</v>
      </c>
      <c r="EO22" s="31">
        <f t="shared" si="60"/>
        <v>0.11179173047473201</v>
      </c>
      <c r="EP22" s="5">
        <v>42</v>
      </c>
      <c r="EQ22" s="35">
        <f t="shared" si="61"/>
        <v>0.13513513513513509</v>
      </c>
      <c r="ER22" s="5">
        <v>653</v>
      </c>
      <c r="ES22" s="33">
        <f t="shared" si="62"/>
        <v>0.15780141843971629</v>
      </c>
      <c r="ET22" s="5">
        <v>37</v>
      </c>
      <c r="EU22" s="32">
        <f t="shared" si="63"/>
        <v>0.19354838709677424</v>
      </c>
      <c r="EV22" s="5">
        <v>564</v>
      </c>
      <c r="EW22" s="31">
        <f t="shared" si="64"/>
        <v>0.12574850299401197</v>
      </c>
      <c r="EX22" s="5">
        <v>31</v>
      </c>
      <c r="EY22" s="33">
        <f t="shared" si="65"/>
        <v>3.3333333333333437E-2</v>
      </c>
      <c r="EZ22" s="5">
        <v>501</v>
      </c>
      <c r="FA22" s="33">
        <f t="shared" si="66"/>
        <v>0.28461538461538471</v>
      </c>
      <c r="FB22" s="5">
        <v>30</v>
      </c>
      <c r="FC22" s="31">
        <f t="shared" si="80"/>
        <v>0</v>
      </c>
      <c r="FD22" s="8">
        <v>390</v>
      </c>
      <c r="FE22" s="35">
        <f t="shared" si="67"/>
        <v>0.25401929260450151</v>
      </c>
      <c r="FF22" s="8">
        <v>30</v>
      </c>
      <c r="FG22" s="33">
        <f t="shared" si="81"/>
        <v>0.4285714285714286</v>
      </c>
      <c r="FH22" s="37">
        <v>311</v>
      </c>
      <c r="FI22" s="36">
        <f t="shared" si="82"/>
        <v>0.54726368159203975</v>
      </c>
      <c r="FJ22" s="37">
        <v>21</v>
      </c>
      <c r="FK22" s="35">
        <f t="shared" si="83"/>
        <v>0.39999999999999991</v>
      </c>
      <c r="FL22" s="9">
        <v>201</v>
      </c>
      <c r="FM22" s="30">
        <f t="shared" si="83"/>
        <v>0.21084337349397586</v>
      </c>
      <c r="FN22" s="9">
        <v>15</v>
      </c>
      <c r="FO22" s="33">
        <f t="shared" si="85"/>
        <v>0.5</v>
      </c>
      <c r="FP22" s="9">
        <v>166</v>
      </c>
      <c r="FQ22" s="31">
        <f t="shared" si="68"/>
        <v>0.64356435643564347</v>
      </c>
      <c r="FR22" s="9">
        <v>10</v>
      </c>
      <c r="FS22" s="31">
        <f t="shared" si="69"/>
        <v>0.4285714285714286</v>
      </c>
      <c r="FT22" s="9">
        <v>101</v>
      </c>
      <c r="FU22" s="33">
        <f t="shared" si="84"/>
        <v>0.87037037037037046</v>
      </c>
      <c r="FV22" s="9">
        <v>7</v>
      </c>
      <c r="FW22" s="33">
        <f t="shared" si="86"/>
        <v>1.3333333333333335</v>
      </c>
      <c r="FX22" s="9">
        <v>54</v>
      </c>
      <c r="FY22" s="11">
        <v>3</v>
      </c>
    </row>
    <row r="23" spans="2:181" x14ac:dyDescent="0.2">
      <c r="B23" s="41" t="s">
        <v>14</v>
      </c>
      <c r="C23" s="25">
        <v>2374</v>
      </c>
      <c r="D23" s="29">
        <f t="shared" si="0"/>
        <v>1.1073253833049357E-2</v>
      </c>
      <c r="E23" s="25">
        <v>81</v>
      </c>
      <c r="F23" s="29">
        <f t="shared" si="1"/>
        <v>2.5316455696202445E-2</v>
      </c>
      <c r="G23" s="25">
        <v>2348</v>
      </c>
      <c r="H23" s="26">
        <f t="shared" si="2"/>
        <v>1.076194575979339E-2</v>
      </c>
      <c r="I23" s="25">
        <v>79</v>
      </c>
      <c r="J23" s="26">
        <f t="shared" si="3"/>
        <v>0</v>
      </c>
      <c r="K23" s="25">
        <v>2323</v>
      </c>
      <c r="L23" s="29">
        <f t="shared" si="4"/>
        <v>1.087902523933848E-2</v>
      </c>
      <c r="M23" s="25">
        <v>79</v>
      </c>
      <c r="N23" s="29">
        <f t="shared" si="5"/>
        <v>1.2820512820512775E-2</v>
      </c>
      <c r="O23" s="25">
        <v>2298</v>
      </c>
      <c r="P23" s="26">
        <f t="shared" si="6"/>
        <v>6.5703022339027584E-3</v>
      </c>
      <c r="Q23" s="25">
        <v>78</v>
      </c>
      <c r="R23" s="27">
        <f t="shared" si="7"/>
        <v>0</v>
      </c>
      <c r="S23" s="25">
        <v>2283</v>
      </c>
      <c r="T23" s="29">
        <f t="shared" si="70"/>
        <v>2.8378378378378422E-2</v>
      </c>
      <c r="U23" s="25">
        <v>78</v>
      </c>
      <c r="V23" s="27">
        <f t="shared" si="8"/>
        <v>1.298701298701288E-2</v>
      </c>
      <c r="W23" s="25">
        <v>2220</v>
      </c>
      <c r="X23" s="26">
        <f t="shared" si="71"/>
        <v>1.0009099181073733E-2</v>
      </c>
      <c r="Y23" s="25">
        <v>77</v>
      </c>
      <c r="Z23" s="27">
        <f t="shared" si="9"/>
        <v>1.3157894736842035E-2</v>
      </c>
      <c r="AA23" s="25">
        <v>2198</v>
      </c>
      <c r="AB23" s="29">
        <f t="shared" si="72"/>
        <v>1.4773776546629813E-2</v>
      </c>
      <c r="AC23" s="25">
        <v>76</v>
      </c>
      <c r="AD23" s="26">
        <f t="shared" si="10"/>
        <v>2.7027027027026973E-2</v>
      </c>
      <c r="AE23" s="25">
        <v>2166</v>
      </c>
      <c r="AF23" s="38">
        <f t="shared" si="73"/>
        <v>4.1724617524339092E-3</v>
      </c>
      <c r="AG23" s="25">
        <v>74</v>
      </c>
      <c r="AH23" s="29">
        <f t="shared" si="11"/>
        <v>4.2253521126760507E-2</v>
      </c>
      <c r="AI23" s="25">
        <v>2157</v>
      </c>
      <c r="AJ23" s="28">
        <f t="shared" si="74"/>
        <v>1.2200844673861955E-2</v>
      </c>
      <c r="AK23" s="25">
        <v>71</v>
      </c>
      <c r="AL23" s="27">
        <f t="shared" si="12"/>
        <v>0</v>
      </c>
      <c r="AM23" s="7">
        <v>2131</v>
      </c>
      <c r="AN23" s="28">
        <f t="shared" si="75"/>
        <v>6.1378659112369949E-3</v>
      </c>
      <c r="AO23" s="5">
        <v>71</v>
      </c>
      <c r="AP23" s="27">
        <f t="shared" si="13"/>
        <v>0</v>
      </c>
      <c r="AQ23" s="5">
        <v>2118</v>
      </c>
      <c r="AR23" s="29">
        <f t="shared" si="14"/>
        <v>5.6980056980056037E-3</v>
      </c>
      <c r="AS23" s="5">
        <v>71</v>
      </c>
      <c r="AT23" s="27">
        <f t="shared" si="15"/>
        <v>0</v>
      </c>
      <c r="AU23" s="5">
        <v>2106</v>
      </c>
      <c r="AV23" s="27">
        <f t="shared" si="16"/>
        <v>1.4265335235377208E-3</v>
      </c>
      <c r="AW23" s="1">
        <v>71</v>
      </c>
      <c r="AX23" s="26">
        <f t="shared" si="17"/>
        <v>0</v>
      </c>
      <c r="AY23" s="1">
        <v>2103</v>
      </c>
      <c r="AZ23" s="27">
        <f t="shared" si="18"/>
        <v>1.4285714285713347E-3</v>
      </c>
      <c r="BA23" s="1">
        <v>71</v>
      </c>
      <c r="BB23" s="29">
        <f t="shared" si="19"/>
        <v>1.4285714285714235E-2</v>
      </c>
      <c r="BC23" s="5">
        <v>2100</v>
      </c>
      <c r="BD23" s="31">
        <f t="shared" si="20"/>
        <v>3.3396946564885344E-3</v>
      </c>
      <c r="BE23" s="5">
        <v>70</v>
      </c>
      <c r="BF23" s="30">
        <f t="shared" si="21"/>
        <v>0</v>
      </c>
      <c r="BG23" s="5">
        <v>2096</v>
      </c>
      <c r="BH23" s="33">
        <f t="shared" si="22"/>
        <v>1.5503875968992276E-2</v>
      </c>
      <c r="BI23" s="5">
        <v>70</v>
      </c>
      <c r="BJ23" s="30">
        <f t="shared" si="23"/>
        <v>0</v>
      </c>
      <c r="BK23" s="5">
        <v>2064</v>
      </c>
      <c r="BL23" s="30">
        <f t="shared" si="24"/>
        <v>9.6993210475271319E-4</v>
      </c>
      <c r="BM23" s="5">
        <v>70</v>
      </c>
      <c r="BN23" s="30">
        <f t="shared" si="25"/>
        <v>0</v>
      </c>
      <c r="BO23" s="5">
        <v>2062</v>
      </c>
      <c r="BP23" s="30">
        <f t="shared" si="26"/>
        <v>1.1776251226692791E-2</v>
      </c>
      <c r="BQ23" s="5">
        <v>70</v>
      </c>
      <c r="BR23" s="30">
        <f t="shared" si="27"/>
        <v>0</v>
      </c>
      <c r="BS23" s="5">
        <v>2038</v>
      </c>
      <c r="BT23" s="31">
        <f t="shared" si="28"/>
        <v>1.7982017982018039E-2</v>
      </c>
      <c r="BU23" s="5">
        <v>70</v>
      </c>
      <c r="BV23" s="30">
        <f t="shared" si="29"/>
        <v>0</v>
      </c>
      <c r="BW23" s="5">
        <v>2002</v>
      </c>
      <c r="BX23" s="33">
        <f t="shared" si="30"/>
        <v>2.3517382413087873E-2</v>
      </c>
      <c r="BY23" s="5">
        <v>70</v>
      </c>
      <c r="BZ23" s="30">
        <f t="shared" si="31"/>
        <v>0</v>
      </c>
      <c r="CA23" s="5">
        <v>1956</v>
      </c>
      <c r="CB23" s="31">
        <f t="shared" si="32"/>
        <v>2.1943573667711602E-2</v>
      </c>
      <c r="CC23" s="5">
        <v>70</v>
      </c>
      <c r="CD23" s="30">
        <f t="shared" si="33"/>
        <v>0</v>
      </c>
      <c r="CE23" s="5">
        <v>1914</v>
      </c>
      <c r="CF23" s="32">
        <f t="shared" si="34"/>
        <v>4.4759825327510994E-2</v>
      </c>
      <c r="CG23" s="5">
        <v>70</v>
      </c>
      <c r="CH23" s="30">
        <f t="shared" si="35"/>
        <v>0</v>
      </c>
      <c r="CI23" s="5">
        <v>1832</v>
      </c>
      <c r="CJ23" s="32">
        <f t="shared" si="36"/>
        <v>3.0951041080472752E-2</v>
      </c>
      <c r="CK23" s="5">
        <v>70</v>
      </c>
      <c r="CL23" s="31">
        <f t="shared" si="37"/>
        <v>0</v>
      </c>
      <c r="CM23" s="5">
        <v>1777</v>
      </c>
      <c r="CN23" s="36">
        <f t="shared" si="38"/>
        <v>2.1851638872915524E-2</v>
      </c>
      <c r="CO23" s="5">
        <v>70</v>
      </c>
      <c r="CP23" s="30">
        <f t="shared" si="39"/>
        <v>0</v>
      </c>
      <c r="CQ23" s="5">
        <v>1739</v>
      </c>
      <c r="CR23" s="31">
        <f t="shared" si="40"/>
        <v>8.7006960556843538E-3</v>
      </c>
      <c r="CS23" s="5">
        <f>70</f>
        <v>70</v>
      </c>
      <c r="CT23" s="30">
        <f t="shared" si="41"/>
        <v>1.449275362318847E-2</v>
      </c>
      <c r="CU23" s="5">
        <v>1724</v>
      </c>
      <c r="CV23" s="33">
        <f t="shared" si="42"/>
        <v>2.4361259655377276E-2</v>
      </c>
      <c r="CW23" s="5">
        <v>69</v>
      </c>
      <c r="CX23" s="30">
        <f t="shared" si="76"/>
        <v>2.9850746268656803E-2</v>
      </c>
      <c r="CY23" s="5">
        <v>1683</v>
      </c>
      <c r="CZ23" s="31">
        <f t="shared" si="43"/>
        <v>1.0204081632652962E-2</v>
      </c>
      <c r="DA23" s="5">
        <v>67</v>
      </c>
      <c r="DB23" s="30">
        <f t="shared" si="77"/>
        <v>4.6875E-2</v>
      </c>
      <c r="DC23" s="5">
        <v>1666</v>
      </c>
      <c r="DD23" s="30">
        <f t="shared" si="44"/>
        <v>1.0922330097087318E-2</v>
      </c>
      <c r="DE23" s="5">
        <v>64</v>
      </c>
      <c r="DF23" s="31">
        <f t="shared" si="78"/>
        <v>0.20754716981132071</v>
      </c>
      <c r="DG23" s="5">
        <v>1648</v>
      </c>
      <c r="DH23" s="30">
        <f t="shared" si="45"/>
        <v>1.8541409147095234E-2</v>
      </c>
      <c r="DI23" s="8">
        <v>53</v>
      </c>
      <c r="DJ23" s="33">
        <f t="shared" si="79"/>
        <v>0.39473684210526305</v>
      </c>
      <c r="DK23" s="34"/>
      <c r="DL23" s="8">
        <v>1618</v>
      </c>
      <c r="DM23" s="31">
        <f t="shared" si="46"/>
        <v>4.1854475209272435E-2</v>
      </c>
      <c r="DN23" s="8">
        <v>38</v>
      </c>
      <c r="DO23" s="31">
        <f t="shared" si="47"/>
        <v>2.7027027027026973E-2</v>
      </c>
      <c r="DP23" s="8">
        <v>1553</v>
      </c>
      <c r="DQ23" s="33">
        <f t="shared" si="48"/>
        <v>4.2981867024848963E-2</v>
      </c>
      <c r="DR23" s="8">
        <v>37</v>
      </c>
      <c r="DS23" s="33">
        <f t="shared" si="49"/>
        <v>8.8235294117646967E-2</v>
      </c>
      <c r="DT23" s="8">
        <v>1489</v>
      </c>
      <c r="DU23" s="31">
        <f t="shared" si="50"/>
        <v>3.6908077994429078E-2</v>
      </c>
      <c r="DV23" s="8">
        <v>34</v>
      </c>
      <c r="DW23" s="30">
        <f t="shared" si="51"/>
        <v>0</v>
      </c>
      <c r="DX23" s="5">
        <v>1436</v>
      </c>
      <c r="DY23" s="33">
        <f t="shared" si="52"/>
        <v>7.4850299401197695E-2</v>
      </c>
      <c r="DZ23" s="5">
        <v>34</v>
      </c>
      <c r="EA23" s="30">
        <f t="shared" si="53"/>
        <v>0</v>
      </c>
      <c r="EB23" s="5">
        <v>1336</v>
      </c>
      <c r="EC23" s="31">
        <f t="shared" si="54"/>
        <v>5.1140833988984946E-2</v>
      </c>
      <c r="ED23" s="5">
        <v>34</v>
      </c>
      <c r="EE23" s="30">
        <f t="shared" si="55"/>
        <v>6.25E-2</v>
      </c>
      <c r="EF23" s="5">
        <v>1271</v>
      </c>
      <c r="EG23" s="32">
        <f t="shared" si="56"/>
        <v>0.18452935694315009</v>
      </c>
      <c r="EH23" s="5">
        <v>32</v>
      </c>
      <c r="EI23" s="30">
        <f t="shared" si="57"/>
        <v>6.6666666666666652E-2</v>
      </c>
      <c r="EJ23" s="5">
        <v>1073</v>
      </c>
      <c r="EK23" s="33">
        <f t="shared" si="58"/>
        <v>0.16503800217155273</v>
      </c>
      <c r="EL23" s="5">
        <v>30</v>
      </c>
      <c r="EM23" s="35">
        <f t="shared" si="59"/>
        <v>0.11111111111111116</v>
      </c>
      <c r="EN23" s="5">
        <v>921</v>
      </c>
      <c r="EO23" s="30">
        <f t="shared" si="60"/>
        <v>9.9045346062052397E-2</v>
      </c>
      <c r="EP23" s="5">
        <v>27</v>
      </c>
      <c r="EQ23" s="36">
        <f t="shared" si="61"/>
        <v>0.35000000000000009</v>
      </c>
      <c r="ER23" s="5">
        <v>838</v>
      </c>
      <c r="ES23" s="31">
        <f t="shared" si="62"/>
        <v>0.27549467275494677</v>
      </c>
      <c r="ET23" s="5">
        <v>20</v>
      </c>
      <c r="EU23" s="30">
        <f t="shared" si="63"/>
        <v>0.11111111111111116</v>
      </c>
      <c r="EV23" s="5">
        <v>657</v>
      </c>
      <c r="EW23" s="33">
        <f t="shared" si="64"/>
        <v>0.25621414913957929</v>
      </c>
      <c r="EX23" s="5">
        <v>18</v>
      </c>
      <c r="EY23" s="31">
        <f t="shared" si="65"/>
        <v>0.19999999999999996</v>
      </c>
      <c r="EZ23" s="5">
        <v>523</v>
      </c>
      <c r="FA23" s="30">
        <f t="shared" si="66"/>
        <v>0.25419664268585129</v>
      </c>
      <c r="FB23" s="5">
        <v>15</v>
      </c>
      <c r="FC23" s="33">
        <f t="shared" si="80"/>
        <v>0.875</v>
      </c>
      <c r="FD23" s="25">
        <v>417</v>
      </c>
      <c r="FE23" s="30">
        <f t="shared" si="67"/>
        <v>0.29503105590062106</v>
      </c>
      <c r="FF23" s="25">
        <v>8</v>
      </c>
      <c r="FG23" s="35">
        <f t="shared" si="81"/>
        <v>0.14285714285714279</v>
      </c>
      <c r="FH23" s="37">
        <v>322</v>
      </c>
      <c r="FI23" s="30">
        <f t="shared" si="82"/>
        <v>0.35864978902953593</v>
      </c>
      <c r="FJ23" s="37">
        <v>7</v>
      </c>
      <c r="FK23" s="33">
        <f t="shared" si="83"/>
        <v>0.75</v>
      </c>
      <c r="FL23" s="9">
        <v>237</v>
      </c>
      <c r="FM23" s="31">
        <f t="shared" si="83"/>
        <v>0.45398773006134974</v>
      </c>
      <c r="FN23" s="9">
        <v>4</v>
      </c>
      <c r="FO23" s="35">
        <f t="shared" si="85"/>
        <v>0</v>
      </c>
      <c r="FP23" s="9">
        <v>163</v>
      </c>
      <c r="FQ23" s="32">
        <f t="shared" si="68"/>
        <v>0.81111111111111112</v>
      </c>
      <c r="FR23" s="9">
        <v>4</v>
      </c>
      <c r="FS23" s="32">
        <f t="shared" si="69"/>
        <v>1</v>
      </c>
      <c r="FT23" s="9">
        <v>90</v>
      </c>
      <c r="FU23" s="33">
        <f t="shared" si="84"/>
        <v>0.5</v>
      </c>
      <c r="FV23" s="9">
        <v>2</v>
      </c>
      <c r="FW23" s="33">
        <f t="shared" si="86"/>
        <v>1</v>
      </c>
      <c r="FX23" s="9">
        <v>60</v>
      </c>
      <c r="FY23" s="11">
        <v>1</v>
      </c>
    </row>
    <row r="24" spans="2:181" x14ac:dyDescent="0.2">
      <c r="B24" s="40" t="s">
        <v>15</v>
      </c>
      <c r="C24" s="25">
        <v>2690</v>
      </c>
      <c r="D24" s="26">
        <f t="shared" si="0"/>
        <v>1.0138941043935423E-2</v>
      </c>
      <c r="E24" s="25">
        <v>86</v>
      </c>
      <c r="F24" s="29">
        <f t="shared" si="1"/>
        <v>2.3809523809523725E-2</v>
      </c>
      <c r="G24" s="25">
        <v>2663</v>
      </c>
      <c r="H24" s="26">
        <f t="shared" si="2"/>
        <v>1.0626185958254375E-2</v>
      </c>
      <c r="I24" s="25">
        <v>84</v>
      </c>
      <c r="J24" s="193">
        <f t="shared" si="3"/>
        <v>0</v>
      </c>
      <c r="K24" s="25">
        <v>2635</v>
      </c>
      <c r="L24" s="29">
        <f t="shared" si="4"/>
        <v>2.3300970873786353E-2</v>
      </c>
      <c r="M24" s="25">
        <v>84</v>
      </c>
      <c r="N24" s="27">
        <f t="shared" si="5"/>
        <v>0</v>
      </c>
      <c r="O24" s="25">
        <v>2575</v>
      </c>
      <c r="P24" s="26">
        <f t="shared" si="6"/>
        <v>3.5074045206546778E-3</v>
      </c>
      <c r="Q24" s="25">
        <f>67+17</f>
        <v>84</v>
      </c>
      <c r="R24" s="27">
        <f t="shared" si="7"/>
        <v>0</v>
      </c>
      <c r="S24" s="25">
        <v>2566</v>
      </c>
      <c r="T24" s="29">
        <f t="shared" si="70"/>
        <v>1.0236220472440882E-2</v>
      </c>
      <c r="U24" s="25">
        <v>84</v>
      </c>
      <c r="V24" s="27">
        <f t="shared" si="8"/>
        <v>0</v>
      </c>
      <c r="W24" s="25">
        <v>2540</v>
      </c>
      <c r="X24" s="27">
        <f t="shared" si="71"/>
        <v>7.9365079365079083E-3</v>
      </c>
      <c r="Y24" s="25">
        <v>84</v>
      </c>
      <c r="Z24" s="27">
        <f t="shared" si="9"/>
        <v>0</v>
      </c>
      <c r="AA24" s="25">
        <v>2520</v>
      </c>
      <c r="AB24" s="26">
        <f t="shared" si="72"/>
        <v>8.0000000000000071E-3</v>
      </c>
      <c r="AC24" s="25">
        <v>84</v>
      </c>
      <c r="AD24" s="29">
        <f t="shared" si="10"/>
        <v>2.4390243902439046E-2</v>
      </c>
      <c r="AE24" s="25">
        <v>2500</v>
      </c>
      <c r="AF24" s="28">
        <f t="shared" si="73"/>
        <v>1.6260162601626105E-2</v>
      </c>
      <c r="AG24" s="25">
        <v>82</v>
      </c>
      <c r="AH24" s="27">
        <f t="shared" si="11"/>
        <v>0</v>
      </c>
      <c r="AI24" s="25">
        <v>2460</v>
      </c>
      <c r="AJ24" s="28">
        <f t="shared" si="74"/>
        <v>1.2762453684643793E-2</v>
      </c>
      <c r="AK24" s="25">
        <v>82</v>
      </c>
      <c r="AL24" s="26">
        <f t="shared" si="12"/>
        <v>1.2345679012345734E-2</v>
      </c>
      <c r="AM24" s="7">
        <v>2429</v>
      </c>
      <c r="AN24" s="29">
        <f t="shared" si="75"/>
        <v>5.7971014492752548E-3</v>
      </c>
      <c r="AO24" s="5">
        <v>81</v>
      </c>
      <c r="AP24" s="29">
        <f t="shared" si="13"/>
        <v>1.2499999999999956E-2</v>
      </c>
      <c r="AQ24" s="5">
        <v>2415</v>
      </c>
      <c r="AR24" s="26">
        <f t="shared" si="14"/>
        <v>4.993757802746579E-3</v>
      </c>
      <c r="AS24" s="5">
        <v>80</v>
      </c>
      <c r="AT24" s="27">
        <f t="shared" si="15"/>
        <v>0</v>
      </c>
      <c r="AU24" s="5">
        <v>2403</v>
      </c>
      <c r="AV24" s="29">
        <f t="shared" si="16"/>
        <v>1.1363636363636465E-2</v>
      </c>
      <c r="AW24" s="1">
        <v>80</v>
      </c>
      <c r="AX24" s="27">
        <f t="shared" si="17"/>
        <v>1.2658227848101333E-2</v>
      </c>
      <c r="AY24" s="1">
        <v>2376</v>
      </c>
      <c r="AZ24" s="26">
        <f t="shared" si="18"/>
        <v>6.7796610169490457E-3</v>
      </c>
      <c r="BA24" s="1">
        <v>79</v>
      </c>
      <c r="BB24" s="26">
        <f t="shared" si="19"/>
        <v>1.2820512820512775E-2</v>
      </c>
      <c r="BC24" s="5">
        <v>2360</v>
      </c>
      <c r="BD24" s="33">
        <f t="shared" si="20"/>
        <v>1.2356199403493751E-2</v>
      </c>
      <c r="BE24" s="5">
        <v>78</v>
      </c>
      <c r="BF24" s="32">
        <f t="shared" si="21"/>
        <v>2.6315789473684292E-2</v>
      </c>
      <c r="BG24" s="5">
        <v>2347</v>
      </c>
      <c r="BH24" s="30">
        <f t="shared" si="22"/>
        <v>3.8494439692045024E-3</v>
      </c>
      <c r="BI24" s="5">
        <v>76</v>
      </c>
      <c r="BJ24" s="33">
        <f t="shared" si="23"/>
        <v>1.3333333333333419E-2</v>
      </c>
      <c r="BK24" s="5">
        <v>2338</v>
      </c>
      <c r="BL24" s="30">
        <f t="shared" si="24"/>
        <v>6.8906115417743941E-3</v>
      </c>
      <c r="BM24" s="5">
        <v>75</v>
      </c>
      <c r="BN24" s="30">
        <f t="shared" si="25"/>
        <v>0</v>
      </c>
      <c r="BO24" s="5">
        <v>2322</v>
      </c>
      <c r="BP24" s="30">
        <f t="shared" si="26"/>
        <v>8.2501085540598318E-3</v>
      </c>
      <c r="BQ24" s="5">
        <v>75</v>
      </c>
      <c r="BR24" s="30">
        <f t="shared" si="27"/>
        <v>0</v>
      </c>
      <c r="BS24" s="5">
        <v>2303</v>
      </c>
      <c r="BT24" s="31">
        <f t="shared" si="28"/>
        <v>9.2024539877300082E-3</v>
      </c>
      <c r="BU24" s="5">
        <v>75</v>
      </c>
      <c r="BV24" s="30">
        <f t="shared" si="29"/>
        <v>0</v>
      </c>
      <c r="BW24" s="5">
        <v>2282</v>
      </c>
      <c r="BX24" s="32">
        <f t="shared" si="30"/>
        <v>1.0628875110717528E-2</v>
      </c>
      <c r="BY24" s="5">
        <v>75</v>
      </c>
      <c r="BZ24" s="30">
        <f t="shared" si="31"/>
        <v>0</v>
      </c>
      <c r="CA24" s="5">
        <v>2258</v>
      </c>
      <c r="CB24" s="33">
        <f t="shared" si="32"/>
        <v>9.8389982110911323E-3</v>
      </c>
      <c r="CC24" s="5">
        <v>75</v>
      </c>
      <c r="CD24" s="30">
        <f t="shared" si="33"/>
        <v>0</v>
      </c>
      <c r="CE24" s="5">
        <v>2236</v>
      </c>
      <c r="CF24" s="33">
        <f t="shared" si="34"/>
        <v>9.4808126410834692E-3</v>
      </c>
      <c r="CG24" s="5">
        <v>75</v>
      </c>
      <c r="CH24" s="31">
        <f t="shared" si="35"/>
        <v>1.3513513513513598E-2</v>
      </c>
      <c r="CI24" s="5">
        <v>2215</v>
      </c>
      <c r="CJ24" s="30">
        <f t="shared" si="36"/>
        <v>4.5351473922903285E-3</v>
      </c>
      <c r="CK24" s="5">
        <v>74</v>
      </c>
      <c r="CL24" s="33">
        <f t="shared" si="37"/>
        <v>2.7777777777777679E-2</v>
      </c>
      <c r="CM24" s="5">
        <v>2205</v>
      </c>
      <c r="CN24" s="35">
        <f t="shared" si="38"/>
        <v>6.389776357827559E-3</v>
      </c>
      <c r="CO24" s="5">
        <v>72</v>
      </c>
      <c r="CP24" s="32">
        <f t="shared" si="39"/>
        <v>0.14285714285714279</v>
      </c>
      <c r="CQ24" s="5">
        <v>2191</v>
      </c>
      <c r="CR24" s="33">
        <f t="shared" si="40"/>
        <v>3.9373814041745669E-2</v>
      </c>
      <c r="CS24" s="5">
        <f>63</f>
        <v>63</v>
      </c>
      <c r="CT24" s="32">
        <f t="shared" si="41"/>
        <v>8.6206896551724199E-2</v>
      </c>
      <c r="CU24" s="5">
        <v>2108</v>
      </c>
      <c r="CV24" s="31">
        <f t="shared" si="42"/>
        <v>1.6393442622950838E-2</v>
      </c>
      <c r="CW24" s="5">
        <v>58</v>
      </c>
      <c r="CX24" s="33">
        <f t="shared" si="76"/>
        <v>3.5714285714285809E-2</v>
      </c>
      <c r="CY24" s="5">
        <v>2074</v>
      </c>
      <c r="CZ24" s="31">
        <f t="shared" si="43"/>
        <v>2.1674876847290747E-2</v>
      </c>
      <c r="DA24" s="5">
        <v>56</v>
      </c>
      <c r="DB24" s="30">
        <f t="shared" si="77"/>
        <v>1.8181818181818077E-2</v>
      </c>
      <c r="DC24" s="5">
        <v>2030</v>
      </c>
      <c r="DD24" s="30">
        <f t="shared" si="44"/>
        <v>2.9934043632673824E-2</v>
      </c>
      <c r="DE24" s="5">
        <v>55</v>
      </c>
      <c r="DF24" s="31">
        <f t="shared" si="78"/>
        <v>1.8518518518518601E-2</v>
      </c>
      <c r="DG24" s="5">
        <v>1971</v>
      </c>
      <c r="DH24" s="31">
        <f t="shared" si="45"/>
        <v>3.3018867924528239E-2</v>
      </c>
      <c r="DI24" s="8">
        <v>54</v>
      </c>
      <c r="DJ24" s="32">
        <f t="shared" si="79"/>
        <v>0.125</v>
      </c>
      <c r="DK24" s="34"/>
      <c r="DL24" s="8">
        <v>1908</v>
      </c>
      <c r="DM24" s="33">
        <f t="shared" si="46"/>
        <v>5.8823529411764719E-2</v>
      </c>
      <c r="DN24" s="8">
        <v>48</v>
      </c>
      <c r="DO24" s="33">
        <f t="shared" si="47"/>
        <v>4.3478260869565188E-2</v>
      </c>
      <c r="DP24" s="8">
        <v>1802</v>
      </c>
      <c r="DQ24" s="30">
        <f t="shared" si="48"/>
        <v>5.5035128805620559E-2</v>
      </c>
      <c r="DR24" s="8">
        <v>46</v>
      </c>
      <c r="DS24" s="31">
        <f t="shared" si="49"/>
        <v>2.2222222222222143E-2</v>
      </c>
      <c r="DT24" s="8">
        <v>1708</v>
      </c>
      <c r="DU24" s="31">
        <f t="shared" si="50"/>
        <v>0.10407239819004532</v>
      </c>
      <c r="DV24" s="8">
        <v>45</v>
      </c>
      <c r="DW24" s="33">
        <f t="shared" si="51"/>
        <v>2.2727272727272707E-2</v>
      </c>
      <c r="DX24" s="5">
        <v>1547</v>
      </c>
      <c r="DY24" s="33">
        <f t="shared" si="52"/>
        <v>0.12345679012345689</v>
      </c>
      <c r="DZ24" s="5">
        <v>44</v>
      </c>
      <c r="EA24" s="31">
        <f t="shared" si="53"/>
        <v>0</v>
      </c>
      <c r="EB24" s="5">
        <v>1377</v>
      </c>
      <c r="EC24" s="31">
        <f t="shared" si="54"/>
        <v>3.8461538461538547E-2</v>
      </c>
      <c r="ED24" s="5">
        <v>44</v>
      </c>
      <c r="EE24" s="33">
        <f t="shared" si="55"/>
        <v>0.12820512820512819</v>
      </c>
      <c r="EF24" s="5">
        <v>1326</v>
      </c>
      <c r="EG24" s="32">
        <f t="shared" si="56"/>
        <v>0.18498659517426264</v>
      </c>
      <c r="EH24" s="5">
        <v>39</v>
      </c>
      <c r="EI24" s="30">
        <f t="shared" si="57"/>
        <v>8.3333333333333259E-2</v>
      </c>
      <c r="EJ24" s="5">
        <v>1119</v>
      </c>
      <c r="EK24" s="33">
        <f t="shared" si="58"/>
        <v>0.16320166320166329</v>
      </c>
      <c r="EL24" s="5">
        <v>36</v>
      </c>
      <c r="EM24" s="30">
        <f t="shared" si="59"/>
        <v>9.0909090909090828E-2</v>
      </c>
      <c r="EN24" s="5">
        <v>962</v>
      </c>
      <c r="EO24" s="31">
        <f t="shared" si="60"/>
        <v>0.15903614457831328</v>
      </c>
      <c r="EP24" s="5">
        <v>33</v>
      </c>
      <c r="EQ24" s="30">
        <f t="shared" si="61"/>
        <v>0.1785714285714286</v>
      </c>
      <c r="ER24" s="5">
        <v>830</v>
      </c>
      <c r="ES24" s="33">
        <f t="shared" si="62"/>
        <v>0.29485179407176276</v>
      </c>
      <c r="ET24" s="5">
        <v>28</v>
      </c>
      <c r="EU24" s="30">
        <f t="shared" si="63"/>
        <v>0.33333333333333326</v>
      </c>
      <c r="EV24" s="5">
        <v>641</v>
      </c>
      <c r="EW24" s="31">
        <f t="shared" si="64"/>
        <v>0.18923933209647492</v>
      </c>
      <c r="EX24" s="5">
        <v>21</v>
      </c>
      <c r="EY24" s="31">
        <f t="shared" si="65"/>
        <v>0.61538461538461542</v>
      </c>
      <c r="EZ24" s="5">
        <v>539</v>
      </c>
      <c r="FA24" s="33">
        <f t="shared" si="66"/>
        <v>0.375</v>
      </c>
      <c r="FB24" s="5">
        <v>13</v>
      </c>
      <c r="FC24" s="33">
        <f t="shared" si="80"/>
        <v>0.85714285714285721</v>
      </c>
      <c r="FD24" s="8">
        <v>392</v>
      </c>
      <c r="FE24" s="35">
        <f t="shared" si="67"/>
        <v>0.2365930599369086</v>
      </c>
      <c r="FF24" s="8">
        <v>7</v>
      </c>
      <c r="FG24" s="35">
        <f t="shared" si="81"/>
        <v>0.16666666666666674</v>
      </c>
      <c r="FH24" s="37">
        <v>317</v>
      </c>
      <c r="FI24" s="33">
        <f t="shared" si="82"/>
        <v>0.39035087719298245</v>
      </c>
      <c r="FJ24" s="37">
        <v>6</v>
      </c>
      <c r="FK24" s="33">
        <f t="shared" si="83"/>
        <v>0.19999999999999996</v>
      </c>
      <c r="FL24" s="9">
        <v>228</v>
      </c>
      <c r="FM24" s="31">
        <f t="shared" si="83"/>
        <v>0.1692307692307693</v>
      </c>
      <c r="FN24" s="9">
        <v>5</v>
      </c>
      <c r="FO24" s="30">
        <f t="shared" si="85"/>
        <v>0</v>
      </c>
      <c r="FP24" s="9">
        <v>195</v>
      </c>
      <c r="FQ24" s="32">
        <f t="shared" si="68"/>
        <v>0.51162790697674421</v>
      </c>
      <c r="FR24" s="9">
        <v>5</v>
      </c>
      <c r="FS24" s="35">
        <f t="shared" si="69"/>
        <v>0</v>
      </c>
      <c r="FT24" s="9">
        <v>129</v>
      </c>
      <c r="FU24" s="33">
        <f t="shared" si="84"/>
        <v>0.32989690721649478</v>
      </c>
      <c r="FV24" s="9">
        <v>5</v>
      </c>
      <c r="FW24" s="33">
        <f t="shared" si="86"/>
        <v>0.25</v>
      </c>
      <c r="FX24" s="9">
        <v>97</v>
      </c>
      <c r="FY24" s="11">
        <v>4</v>
      </c>
    </row>
    <row r="25" spans="2:181" x14ac:dyDescent="0.2">
      <c r="B25" s="40" t="s">
        <v>16</v>
      </c>
      <c r="C25" s="25">
        <v>104374</v>
      </c>
      <c r="D25" s="29">
        <f t="shared" si="0"/>
        <v>2.0054338265475646E-2</v>
      </c>
      <c r="E25" s="25">
        <f>2396+321</f>
        <v>2717</v>
      </c>
      <c r="F25" s="27">
        <f t="shared" si="1"/>
        <v>1.9894894894894932E-2</v>
      </c>
      <c r="G25" s="25">
        <v>102322</v>
      </c>
      <c r="H25" s="26">
        <f t="shared" si="2"/>
        <v>1.8332006369426779E-2</v>
      </c>
      <c r="I25" s="25">
        <f>2344+320</f>
        <v>2664</v>
      </c>
      <c r="J25" s="26">
        <f t="shared" si="3"/>
        <v>2.1080873898045249E-2</v>
      </c>
      <c r="K25" s="25">
        <v>100480</v>
      </c>
      <c r="L25" s="29">
        <f t="shared" si="4"/>
        <v>4.1221943586661425E-2</v>
      </c>
      <c r="M25" s="25">
        <f>2296+313</f>
        <v>2609</v>
      </c>
      <c r="N25" s="29">
        <f t="shared" si="5"/>
        <v>4.737053392211954E-2</v>
      </c>
      <c r="O25" s="25">
        <v>96502</v>
      </c>
      <c r="P25" s="26">
        <f t="shared" si="6"/>
        <v>3.0442814278544894E-2</v>
      </c>
      <c r="Q25" s="25">
        <f>2178+313</f>
        <v>2491</v>
      </c>
      <c r="R25" s="26">
        <f t="shared" si="7"/>
        <v>1.136825010150222E-2</v>
      </c>
      <c r="S25" s="25">
        <v>93651</v>
      </c>
      <c r="T25" s="29">
        <f t="shared" si="70"/>
        <v>3.6822585109327344E-2</v>
      </c>
      <c r="U25" s="25">
        <f>2151+312</f>
        <v>2463</v>
      </c>
      <c r="V25" s="29">
        <f t="shared" si="8"/>
        <v>1.1914543960558799E-2</v>
      </c>
      <c r="W25" s="25">
        <v>90325</v>
      </c>
      <c r="X25" s="26">
        <f t="shared" si="71"/>
        <v>3.0448571689331017E-2</v>
      </c>
      <c r="Y25" s="25">
        <v>2434</v>
      </c>
      <c r="Z25" s="27">
        <f t="shared" si="9"/>
        <v>5.7851239669421961E-3</v>
      </c>
      <c r="AA25" s="25">
        <v>87656</v>
      </c>
      <c r="AB25" s="29">
        <f t="shared" si="72"/>
        <v>3.9452620095103752E-2</v>
      </c>
      <c r="AC25" s="25">
        <v>2420</v>
      </c>
      <c r="AD25" s="26">
        <f t="shared" si="10"/>
        <v>1.1282908483075671E-2</v>
      </c>
      <c r="AE25" s="25">
        <v>84329</v>
      </c>
      <c r="AF25" s="38">
        <f t="shared" si="73"/>
        <v>3.9430543572044785E-2</v>
      </c>
      <c r="AG25" s="25">
        <v>2393</v>
      </c>
      <c r="AH25" s="28">
        <f t="shared" si="11"/>
        <v>1.8297872340425458E-2</v>
      </c>
      <c r="AI25" s="25">
        <v>81130</v>
      </c>
      <c r="AJ25" s="28">
        <f t="shared" si="74"/>
        <v>4.3298226663065931E-2</v>
      </c>
      <c r="AK25" s="25">
        <f>2061+289</f>
        <v>2350</v>
      </c>
      <c r="AL25" s="28">
        <f t="shared" si="12"/>
        <v>1.7316017316017396E-2</v>
      </c>
      <c r="AM25" s="7">
        <v>77763</v>
      </c>
      <c r="AN25" s="28">
        <f t="shared" si="75"/>
        <v>2.4842510345554736E-2</v>
      </c>
      <c r="AO25" s="5">
        <v>2310</v>
      </c>
      <c r="AP25" s="29">
        <f t="shared" si="13"/>
        <v>3.0395136778116338E-3</v>
      </c>
      <c r="AQ25" s="5">
        <v>75878</v>
      </c>
      <c r="AR25" s="29">
        <f t="shared" si="14"/>
        <v>2.1485689669098917E-2</v>
      </c>
      <c r="AS25" s="5">
        <v>2303</v>
      </c>
      <c r="AT25" s="26">
        <f t="shared" si="15"/>
        <v>1.3043478260870156E-3</v>
      </c>
      <c r="AU25" s="5">
        <v>74282</v>
      </c>
      <c r="AV25" s="27">
        <f t="shared" si="16"/>
        <v>9.8013893231467808E-3</v>
      </c>
      <c r="AW25" s="1">
        <f>2023+277</f>
        <v>2300</v>
      </c>
      <c r="AX25" s="29">
        <f t="shared" si="17"/>
        <v>3.0527692978630228E-3</v>
      </c>
      <c r="AY25" s="1">
        <v>73561</v>
      </c>
      <c r="AZ25" s="27">
        <f t="shared" si="18"/>
        <v>1.7581961543781999E-2</v>
      </c>
      <c r="BA25" s="1">
        <f>2018+275</f>
        <v>2293</v>
      </c>
      <c r="BB25" s="27">
        <f t="shared" si="19"/>
        <v>2.1853146853145766E-3</v>
      </c>
      <c r="BC25" s="5">
        <v>72290</v>
      </c>
      <c r="BD25" s="30">
        <f t="shared" si="20"/>
        <v>3.6683672031342374E-2</v>
      </c>
      <c r="BE25" s="5">
        <f>2015+273</f>
        <v>2288</v>
      </c>
      <c r="BF25" s="30">
        <f t="shared" si="21"/>
        <v>8.3737329219921719E-3</v>
      </c>
      <c r="BG25" s="5">
        <v>70958</v>
      </c>
      <c r="BH25" s="30">
        <f t="shared" si="22"/>
        <v>2.0787478601125065E-2</v>
      </c>
      <c r="BI25" s="5">
        <v>2269</v>
      </c>
      <c r="BJ25" s="31">
        <f t="shared" si="23"/>
        <v>3.0895047705588263E-2</v>
      </c>
      <c r="BK25" s="5">
        <v>69513</v>
      </c>
      <c r="BL25" s="30">
        <f t="shared" si="24"/>
        <v>4.0193335029254706E-2</v>
      </c>
      <c r="BM25" s="5">
        <f>1949+252</f>
        <v>2201</v>
      </c>
      <c r="BN25" s="33">
        <f t="shared" si="25"/>
        <v>3.1879981247069811E-2</v>
      </c>
      <c r="BO25" s="5">
        <v>66827</v>
      </c>
      <c r="BP25" s="31">
        <f t="shared" si="26"/>
        <v>3.8976990049751192E-2</v>
      </c>
      <c r="BQ25" s="5">
        <f>1884+249</f>
        <v>2133</v>
      </c>
      <c r="BR25" s="30">
        <f t="shared" si="27"/>
        <v>1.3301662707838391E-2</v>
      </c>
      <c r="BS25" s="5">
        <v>64320</v>
      </c>
      <c r="BT25" s="33">
        <f t="shared" si="28"/>
        <v>4.1130481231486327E-2</v>
      </c>
      <c r="BU25" s="5">
        <f>1857+248</f>
        <v>2105</v>
      </c>
      <c r="BV25" s="31">
        <f t="shared" si="29"/>
        <v>1.7891682785299734E-2</v>
      </c>
      <c r="BW25" s="5">
        <v>61779</v>
      </c>
      <c r="BX25" s="30">
        <f t="shared" si="30"/>
        <v>3.8704036854582347E-2</v>
      </c>
      <c r="BY25" s="5">
        <f>1822+246</f>
        <v>2068</v>
      </c>
      <c r="BZ25" s="33">
        <f t="shared" si="31"/>
        <v>1.8217626784835073E-2</v>
      </c>
      <c r="CA25" s="5">
        <v>59477</v>
      </c>
      <c r="CB25" s="31">
        <f t="shared" si="32"/>
        <v>8.0005810680757516E-2</v>
      </c>
      <c r="CC25" s="5">
        <f>1789+242</f>
        <v>2031</v>
      </c>
      <c r="CD25" s="31">
        <f t="shared" si="33"/>
        <v>1.8045112781954975E-2</v>
      </c>
      <c r="CE25" s="5">
        <v>55071</v>
      </c>
      <c r="CF25" s="33">
        <f t="shared" si="34"/>
        <v>0.111916491681473</v>
      </c>
      <c r="CG25" s="5">
        <f>1752+243</f>
        <v>1995</v>
      </c>
      <c r="CH25" s="33">
        <f t="shared" si="35"/>
        <v>2.4127310061601737E-2</v>
      </c>
      <c r="CI25" s="5">
        <v>49528</v>
      </c>
      <c r="CJ25" s="31">
        <f t="shared" si="36"/>
        <v>7.7679620523086301E-2</v>
      </c>
      <c r="CK25" s="5">
        <f>1710+238</f>
        <v>1948</v>
      </c>
      <c r="CL25" s="31">
        <f t="shared" si="37"/>
        <v>1.6171100678142869E-2</v>
      </c>
      <c r="CM25" s="5">
        <v>45958</v>
      </c>
      <c r="CN25" s="36">
        <f t="shared" si="38"/>
        <v>9.3769336950830562E-2</v>
      </c>
      <c r="CO25" s="5">
        <f>1680+237</f>
        <v>1917</v>
      </c>
      <c r="CP25" s="35">
        <f t="shared" si="39"/>
        <v>5.2140504939626853E-2</v>
      </c>
      <c r="CQ25" s="5">
        <v>42018</v>
      </c>
      <c r="CR25" s="31">
        <f t="shared" si="40"/>
        <v>8.7760173967070587E-2</v>
      </c>
      <c r="CS25" s="5">
        <f>1592+230</f>
        <v>1822</v>
      </c>
      <c r="CT25" s="32">
        <f t="shared" si="41"/>
        <v>0.10962241169305731</v>
      </c>
      <c r="CU25" s="5">
        <v>38628</v>
      </c>
      <c r="CV25" s="33">
        <f t="shared" si="42"/>
        <v>0.15531628532974429</v>
      </c>
      <c r="CW25" s="5">
        <f>1417+225</f>
        <v>1642</v>
      </c>
      <c r="CX25" s="33">
        <f t="shared" si="76"/>
        <v>6.2095730918499292E-2</v>
      </c>
      <c r="CY25" s="5">
        <v>33435</v>
      </c>
      <c r="CZ25" s="31">
        <f t="shared" si="43"/>
        <v>0.14570126443477371</v>
      </c>
      <c r="DA25" s="5">
        <v>1546</v>
      </c>
      <c r="DB25" s="30">
        <f t="shared" si="77"/>
        <v>5.4570259208731153E-2</v>
      </c>
      <c r="DC25" s="5">
        <v>29183</v>
      </c>
      <c r="DD25" s="33">
        <f t="shared" si="44"/>
        <v>0.16429283861958899</v>
      </c>
      <c r="DE25" s="5">
        <v>1466</v>
      </c>
      <c r="DF25" s="31">
        <f t="shared" si="78"/>
        <v>0.19381107491856686</v>
      </c>
      <c r="DG25" s="5">
        <v>25065</v>
      </c>
      <c r="DH25" s="30">
        <f t="shared" si="45"/>
        <v>5.0282840980515386E-2</v>
      </c>
      <c r="DI25" s="8">
        <v>1228</v>
      </c>
      <c r="DJ25" s="33">
        <f t="shared" si="79"/>
        <v>0.33478260869565224</v>
      </c>
      <c r="DK25" s="34"/>
      <c r="DL25" s="8">
        <v>23865</v>
      </c>
      <c r="DM25" s="30">
        <f t="shared" si="46"/>
        <v>6.5972842594246961E-2</v>
      </c>
      <c r="DN25" s="8">
        <v>920</v>
      </c>
      <c r="DO25" s="31">
        <f t="shared" si="47"/>
        <v>4.0723981900452566E-2</v>
      </c>
      <c r="DP25" s="8">
        <v>22388</v>
      </c>
      <c r="DQ25" s="30">
        <f t="shared" si="48"/>
        <v>9.1565090199902555E-2</v>
      </c>
      <c r="DR25" s="8">
        <v>884</v>
      </c>
      <c r="DS25" s="33">
        <f t="shared" si="49"/>
        <v>0.10087173100871727</v>
      </c>
      <c r="DT25" s="8">
        <v>20510</v>
      </c>
      <c r="DU25" s="31">
        <f t="shared" si="50"/>
        <v>0.1490839822959269</v>
      </c>
      <c r="DV25" s="8">
        <v>803</v>
      </c>
      <c r="DW25" s="30">
        <f t="shared" si="51"/>
        <v>4.0155440414507693E-2</v>
      </c>
      <c r="DX25" s="5">
        <v>17849</v>
      </c>
      <c r="DY25" s="33">
        <f t="shared" si="52"/>
        <v>0.19215869623296822</v>
      </c>
      <c r="DZ25" s="5">
        <v>772</v>
      </c>
      <c r="EA25" s="31">
        <f t="shared" si="53"/>
        <v>5.8984910836762605E-2</v>
      </c>
      <c r="EB25" s="5">
        <v>14972</v>
      </c>
      <c r="EC25" s="31">
        <f t="shared" si="54"/>
        <v>8.4063427702556037E-2</v>
      </c>
      <c r="ED25" s="5">
        <v>729</v>
      </c>
      <c r="EE25" s="33">
        <f t="shared" si="55"/>
        <v>8.4821428571428603E-2</v>
      </c>
      <c r="EF25" s="5">
        <v>13811</v>
      </c>
      <c r="EG25" s="33">
        <f t="shared" si="56"/>
        <v>0.1790165613795458</v>
      </c>
      <c r="EH25" s="5">
        <v>672</v>
      </c>
      <c r="EI25" s="31">
        <f t="shared" si="57"/>
        <v>5.6603773584905648E-2</v>
      </c>
      <c r="EJ25" s="5">
        <v>11714</v>
      </c>
      <c r="EK25" s="30">
        <f t="shared" si="58"/>
        <v>9.7535838096130423E-2</v>
      </c>
      <c r="EL25" s="5">
        <v>636</v>
      </c>
      <c r="EM25" s="36">
        <f t="shared" si="59"/>
        <v>9.0909090909090828E-2</v>
      </c>
      <c r="EN25" s="5">
        <v>10673</v>
      </c>
      <c r="EO25" s="31">
        <f t="shared" si="60"/>
        <v>0.19598834603316906</v>
      </c>
      <c r="EP25" s="5">
        <v>583</v>
      </c>
      <c r="EQ25" s="35">
        <f t="shared" si="61"/>
        <v>6.1930783242258647E-2</v>
      </c>
      <c r="ER25" s="5">
        <v>8924</v>
      </c>
      <c r="ES25" s="32">
        <f t="shared" si="62"/>
        <v>0.27796076185020757</v>
      </c>
      <c r="ET25" s="5">
        <v>549</v>
      </c>
      <c r="EU25" s="36">
        <f t="shared" si="63"/>
        <v>0.13429752066115697</v>
      </c>
      <c r="EV25" s="5">
        <v>6983</v>
      </c>
      <c r="EW25" s="33">
        <f t="shared" si="64"/>
        <v>0.18315825144018971</v>
      </c>
      <c r="EX25" s="5">
        <v>484</v>
      </c>
      <c r="EY25" s="30">
        <f t="shared" si="65"/>
        <v>0.11009174311926606</v>
      </c>
      <c r="EZ25" s="5">
        <v>5902</v>
      </c>
      <c r="FA25" s="31">
        <f t="shared" si="66"/>
        <v>0.12784253774125731</v>
      </c>
      <c r="FB25" s="5">
        <v>436</v>
      </c>
      <c r="FC25" s="31">
        <f t="shared" si="80"/>
        <v>0.11508951406649626</v>
      </c>
      <c r="FD25" s="8">
        <v>5233</v>
      </c>
      <c r="FE25" s="33">
        <f t="shared" si="67"/>
        <v>0.1686020544886111</v>
      </c>
      <c r="FF25" s="8">
        <v>391</v>
      </c>
      <c r="FG25" s="33">
        <f t="shared" si="81"/>
        <v>0.19938650306748462</v>
      </c>
      <c r="FH25" s="37">
        <v>4478</v>
      </c>
      <c r="FI25" s="30">
        <f t="shared" si="82"/>
        <v>0.13654822335025374</v>
      </c>
      <c r="FJ25" s="37">
        <v>326</v>
      </c>
      <c r="FK25" s="30">
        <f t="shared" si="83"/>
        <v>7.2368421052631637E-2</v>
      </c>
      <c r="FL25" s="9">
        <v>3940</v>
      </c>
      <c r="FM25" s="31">
        <f t="shared" si="83"/>
        <v>0.15712187958884005</v>
      </c>
      <c r="FN25" s="9">
        <v>304</v>
      </c>
      <c r="FO25" s="30">
        <f t="shared" si="85"/>
        <v>0.1875</v>
      </c>
      <c r="FP25" s="9">
        <v>3405</v>
      </c>
      <c r="FQ25" s="32">
        <f t="shared" si="68"/>
        <v>0.31874515879163434</v>
      </c>
      <c r="FR25" s="9">
        <v>256</v>
      </c>
      <c r="FS25" s="31">
        <f t="shared" si="69"/>
        <v>0.19069767441860463</v>
      </c>
      <c r="FT25" s="9">
        <v>2582</v>
      </c>
      <c r="FU25" s="33">
        <f t="shared" si="84"/>
        <v>0.23187022900763354</v>
      </c>
      <c r="FV25" s="9">
        <v>215</v>
      </c>
      <c r="FW25" s="33">
        <f t="shared" si="86"/>
        <v>1.0476190476190474</v>
      </c>
      <c r="FX25" s="9">
        <v>2096</v>
      </c>
      <c r="FY25" s="11">
        <v>105</v>
      </c>
    </row>
    <row r="26" spans="2:181" x14ac:dyDescent="0.2">
      <c r="B26" s="24" t="s">
        <v>17</v>
      </c>
      <c r="C26" s="25">
        <v>3467</v>
      </c>
      <c r="D26" s="27">
        <f t="shared" si="0"/>
        <v>6.6782810685248606E-3</v>
      </c>
      <c r="E26" s="25">
        <v>690</v>
      </c>
      <c r="F26" s="27">
        <f t="shared" si="1"/>
        <v>0</v>
      </c>
      <c r="G26" s="25">
        <v>3444</v>
      </c>
      <c r="H26" s="27">
        <f t="shared" si="2"/>
        <v>2.3476968796433795E-2</v>
      </c>
      <c r="I26" s="25">
        <v>690</v>
      </c>
      <c r="J26" s="27">
        <f t="shared" si="3"/>
        <v>0</v>
      </c>
      <c r="K26" s="25">
        <v>3365</v>
      </c>
      <c r="L26" s="26">
        <f t="shared" si="4"/>
        <v>3.2525314513654591E-2</v>
      </c>
      <c r="M26" s="25">
        <v>690</v>
      </c>
      <c r="N26" s="27">
        <f t="shared" si="5"/>
        <v>0</v>
      </c>
      <c r="O26" s="25">
        <v>3259</v>
      </c>
      <c r="P26" s="28">
        <f t="shared" si="6"/>
        <v>3.8228735266008229E-2</v>
      </c>
      <c r="Q26" s="25">
        <f>410+280</f>
        <v>690</v>
      </c>
      <c r="R26" s="26">
        <f t="shared" si="7"/>
        <v>0</v>
      </c>
      <c r="S26" s="25">
        <v>3139</v>
      </c>
      <c r="T26" s="29">
        <f t="shared" si="70"/>
        <v>1.9155844155844148E-2</v>
      </c>
      <c r="U26" s="25">
        <v>690</v>
      </c>
      <c r="V26" s="29">
        <f t="shared" si="8"/>
        <v>2.9069767441860517E-3</v>
      </c>
      <c r="W26" s="25">
        <v>3080</v>
      </c>
      <c r="X26" s="26">
        <f t="shared" si="71"/>
        <v>1.1494252873563315E-2</v>
      </c>
      <c r="Y26" s="25">
        <v>688</v>
      </c>
      <c r="Z26" s="27">
        <f t="shared" si="9"/>
        <v>1.4556040756914523E-3</v>
      </c>
      <c r="AA26" s="25">
        <v>3045</v>
      </c>
      <c r="AB26" s="29">
        <f t="shared" si="72"/>
        <v>2.2155085599194324E-2</v>
      </c>
      <c r="AC26" s="25">
        <v>687</v>
      </c>
      <c r="AD26" s="26">
        <f t="shared" si="10"/>
        <v>1.4577259475219151E-3</v>
      </c>
      <c r="AE26" s="25">
        <v>2979</v>
      </c>
      <c r="AF26" s="38">
        <f t="shared" si="73"/>
        <v>1.9856213625470742E-2</v>
      </c>
      <c r="AG26" s="25">
        <v>686</v>
      </c>
      <c r="AH26" s="29">
        <f t="shared" si="11"/>
        <v>2.0833333333333259E-2</v>
      </c>
      <c r="AI26" s="25">
        <v>2921</v>
      </c>
      <c r="AJ26" s="29">
        <f t="shared" si="74"/>
        <v>6.0639070442991994E-2</v>
      </c>
      <c r="AK26" s="25">
        <f>392+280</f>
        <v>672</v>
      </c>
      <c r="AL26" s="26">
        <f t="shared" si="12"/>
        <v>4.484304932735439E-3</v>
      </c>
      <c r="AM26" s="7">
        <v>2754</v>
      </c>
      <c r="AN26" s="26">
        <f t="shared" si="75"/>
        <v>3.1074503931111996E-2</v>
      </c>
      <c r="AO26" s="5">
        <v>669</v>
      </c>
      <c r="AP26" s="28">
        <f t="shared" si="13"/>
        <v>6.0150375939849177E-3</v>
      </c>
      <c r="AQ26" s="5">
        <v>2671</v>
      </c>
      <c r="AR26" s="29">
        <f t="shared" si="14"/>
        <v>3.4469403563129442E-2</v>
      </c>
      <c r="AS26" s="5">
        <v>665</v>
      </c>
      <c r="AT26" s="29">
        <f t="shared" si="15"/>
        <v>3.0165912518853588E-3</v>
      </c>
      <c r="AU26" s="5">
        <v>2582</v>
      </c>
      <c r="AV26" s="27">
        <f t="shared" si="16"/>
        <v>2.6640159045725698E-2</v>
      </c>
      <c r="AW26" s="1">
        <v>663</v>
      </c>
      <c r="AX26" s="27">
        <f t="shared" si="17"/>
        <v>0</v>
      </c>
      <c r="AY26" s="1">
        <v>2515</v>
      </c>
      <c r="AZ26" s="26">
        <f t="shared" si="18"/>
        <v>4.0976821192052926E-2</v>
      </c>
      <c r="BA26" s="1">
        <f>383+280</f>
        <v>663</v>
      </c>
      <c r="BB26" s="27">
        <f t="shared" si="19"/>
        <v>0</v>
      </c>
      <c r="BC26" s="5">
        <v>2416</v>
      </c>
      <c r="BD26" s="33">
        <f t="shared" si="20"/>
        <v>0.12729717615419101</v>
      </c>
      <c r="BE26" s="5">
        <f>383+280</f>
        <v>663</v>
      </c>
      <c r="BF26" s="30">
        <f t="shared" si="21"/>
        <v>1.5105740181269312E-3</v>
      </c>
      <c r="BG26" s="5">
        <v>2231</v>
      </c>
      <c r="BH26" s="31">
        <f t="shared" si="22"/>
        <v>4.8402255639097724E-2</v>
      </c>
      <c r="BI26" s="5">
        <f>383+279</f>
        <v>662</v>
      </c>
      <c r="BJ26" s="30">
        <f t="shared" si="23"/>
        <v>3.0303030303029388E-3</v>
      </c>
      <c r="BK26" s="5">
        <v>2128</v>
      </c>
      <c r="BL26" s="33">
        <f t="shared" si="24"/>
        <v>0.11823436678928001</v>
      </c>
      <c r="BM26" s="5">
        <f>382+278</f>
        <v>660</v>
      </c>
      <c r="BN26" s="31">
        <f t="shared" si="25"/>
        <v>9.1743119266054496E-3</v>
      </c>
      <c r="BO26" s="5">
        <v>1903</v>
      </c>
      <c r="BP26" s="30">
        <f t="shared" si="26"/>
        <v>2.2568511552928605E-2</v>
      </c>
      <c r="BQ26" s="5">
        <f>379+275</f>
        <v>654</v>
      </c>
      <c r="BR26" s="33">
        <f t="shared" si="27"/>
        <v>1.8691588785046731E-2</v>
      </c>
      <c r="BS26" s="5">
        <v>1861</v>
      </c>
      <c r="BT26" s="30">
        <f t="shared" si="28"/>
        <v>2.5909592061742037E-2</v>
      </c>
      <c r="BU26" s="5">
        <f>368+274</f>
        <v>642</v>
      </c>
      <c r="BV26" s="30">
        <f t="shared" si="29"/>
        <v>0</v>
      </c>
      <c r="BW26" s="5">
        <v>1814</v>
      </c>
      <c r="BX26" s="30">
        <f t="shared" si="30"/>
        <v>4.3728423475258849E-2</v>
      </c>
      <c r="BY26" s="5">
        <f>368+274</f>
        <v>642</v>
      </c>
      <c r="BZ26" s="30">
        <f t="shared" si="31"/>
        <v>0</v>
      </c>
      <c r="CA26" s="5">
        <v>1738</v>
      </c>
      <c r="CB26" s="32">
        <f t="shared" si="32"/>
        <v>7.0197044334975311E-2</v>
      </c>
      <c r="CC26" s="5">
        <f>368+274</f>
        <v>642</v>
      </c>
      <c r="CD26" s="30">
        <f t="shared" si="33"/>
        <v>0</v>
      </c>
      <c r="CE26" s="5">
        <v>1624</v>
      </c>
      <c r="CF26" s="32">
        <f t="shared" si="34"/>
        <v>3.6375239310785012E-2</v>
      </c>
      <c r="CG26" s="5">
        <f>368+274</f>
        <v>642</v>
      </c>
      <c r="CH26" s="30">
        <f t="shared" si="35"/>
        <v>0</v>
      </c>
      <c r="CI26" s="5">
        <v>1567</v>
      </c>
      <c r="CJ26" s="33">
        <f t="shared" si="36"/>
        <v>2.9566360052562413E-2</v>
      </c>
      <c r="CK26" s="5">
        <f>368+274</f>
        <v>642</v>
      </c>
      <c r="CL26" s="30">
        <f t="shared" si="37"/>
        <v>0</v>
      </c>
      <c r="CM26" s="5">
        <v>1522</v>
      </c>
      <c r="CN26" s="30">
        <f t="shared" si="38"/>
        <v>1.6021361815754309E-2</v>
      </c>
      <c r="CO26" s="5">
        <f>368+274</f>
        <v>642</v>
      </c>
      <c r="CP26" s="30">
        <f t="shared" si="39"/>
        <v>1.5600624024960652E-3</v>
      </c>
      <c r="CQ26" s="5">
        <v>1498</v>
      </c>
      <c r="CR26" s="31">
        <f t="shared" si="40"/>
        <v>1.6972165648336812E-2</v>
      </c>
      <c r="CS26" s="5">
        <f>368+273</f>
        <v>641</v>
      </c>
      <c r="CT26" s="31">
        <f t="shared" si="41"/>
        <v>4.7021943573668512E-3</v>
      </c>
      <c r="CU26" s="5">
        <v>1473</v>
      </c>
      <c r="CV26" s="33">
        <f t="shared" si="42"/>
        <v>1.937716262975786E-2</v>
      </c>
      <c r="CW26" s="5">
        <f>365+273</f>
        <v>638</v>
      </c>
      <c r="CX26" s="33">
        <f t="shared" si="76"/>
        <v>6.3091482649841879E-3</v>
      </c>
      <c r="CY26" s="5">
        <v>1445</v>
      </c>
      <c r="CZ26" s="31">
        <f t="shared" si="43"/>
        <v>4.8678720445063384E-3</v>
      </c>
      <c r="DA26" s="5">
        <v>634</v>
      </c>
      <c r="DB26" s="30">
        <f t="shared" si="77"/>
        <v>3.1645569620253333E-3</v>
      </c>
      <c r="DC26" s="5">
        <v>1438</v>
      </c>
      <c r="DD26" s="33">
        <f t="shared" si="44"/>
        <v>8.4464555052790269E-2</v>
      </c>
      <c r="DE26" s="5">
        <v>632</v>
      </c>
      <c r="DF26" s="31">
        <f t="shared" si="78"/>
        <v>6.3694267515923553E-3</v>
      </c>
      <c r="DG26" s="5">
        <v>1326</v>
      </c>
      <c r="DH26" s="31">
        <f t="shared" si="45"/>
        <v>2.5522041763341052E-2</v>
      </c>
      <c r="DI26" s="8">
        <v>628</v>
      </c>
      <c r="DJ26" s="32">
        <f t="shared" si="79"/>
        <v>0.78409090909090917</v>
      </c>
      <c r="DK26" s="34"/>
      <c r="DL26" s="8">
        <v>1293</v>
      </c>
      <c r="DM26" s="32">
        <f t="shared" si="46"/>
        <v>4.7811993517017815E-2</v>
      </c>
      <c r="DN26" s="8">
        <v>352</v>
      </c>
      <c r="DO26" s="32">
        <f t="shared" si="47"/>
        <v>3.8348082595870192E-2</v>
      </c>
      <c r="DP26" s="8">
        <v>1234</v>
      </c>
      <c r="DQ26" s="32">
        <f t="shared" si="48"/>
        <v>3.6974789915966477E-2</v>
      </c>
      <c r="DR26" s="8">
        <v>339</v>
      </c>
      <c r="DS26" s="32">
        <f t="shared" si="49"/>
        <v>1.4970059880239583E-2</v>
      </c>
      <c r="DT26" s="8">
        <v>1190</v>
      </c>
      <c r="DU26" s="33">
        <f t="shared" si="50"/>
        <v>1.7964071856287456E-2</v>
      </c>
      <c r="DV26" s="8">
        <v>334</v>
      </c>
      <c r="DW26" s="33">
        <f t="shared" si="51"/>
        <v>9.0634441087613649E-3</v>
      </c>
      <c r="DX26" s="5">
        <v>1169</v>
      </c>
      <c r="DY26" s="30">
        <f t="shared" si="52"/>
        <v>1.5638575152041811E-2</v>
      </c>
      <c r="DZ26" s="5">
        <v>331</v>
      </c>
      <c r="EA26" s="31">
        <f t="shared" si="53"/>
        <v>0</v>
      </c>
      <c r="EB26" s="5">
        <v>1151</v>
      </c>
      <c r="EC26" s="30">
        <f t="shared" si="54"/>
        <v>1.7683465959328126E-2</v>
      </c>
      <c r="ED26" s="5">
        <v>331</v>
      </c>
      <c r="EE26" s="33">
        <f t="shared" si="55"/>
        <v>6.0790273556230456E-3</v>
      </c>
      <c r="EF26" s="5">
        <v>1131</v>
      </c>
      <c r="EG26" s="31">
        <f t="shared" si="56"/>
        <v>2.8181818181818086E-2</v>
      </c>
      <c r="EH26" s="5">
        <v>329</v>
      </c>
      <c r="EI26" s="30">
        <f t="shared" si="57"/>
        <v>3.0487804878047697E-3</v>
      </c>
      <c r="EJ26" s="5">
        <v>1100</v>
      </c>
      <c r="EK26" s="32">
        <f t="shared" si="58"/>
        <v>0.11336032388663964</v>
      </c>
      <c r="EL26" s="5">
        <v>328</v>
      </c>
      <c r="EM26" s="30">
        <f t="shared" si="59"/>
        <v>3.0581039755350758E-3</v>
      </c>
      <c r="EN26" s="5">
        <v>988</v>
      </c>
      <c r="EO26" s="33">
        <f t="shared" si="60"/>
        <v>3.7815126050420256E-2</v>
      </c>
      <c r="EP26" s="5">
        <v>327</v>
      </c>
      <c r="EQ26" s="30">
        <f t="shared" si="61"/>
        <v>3.0674846625766694E-3</v>
      </c>
      <c r="ER26" s="5">
        <v>952</v>
      </c>
      <c r="ES26" s="30">
        <f t="shared" si="62"/>
        <v>3.2537960954446943E-2</v>
      </c>
      <c r="ET26" s="5">
        <v>326</v>
      </c>
      <c r="EU26" s="30">
        <f t="shared" si="63"/>
        <v>3.0769230769229772E-3</v>
      </c>
      <c r="EV26" s="5">
        <v>922</v>
      </c>
      <c r="EW26" s="31">
        <f t="shared" si="64"/>
        <v>3.2474804031354942E-2</v>
      </c>
      <c r="EX26" s="5">
        <v>325</v>
      </c>
      <c r="EY26" s="30">
        <f t="shared" si="65"/>
        <v>2.2012578616352307E-2</v>
      </c>
      <c r="EZ26" s="5">
        <v>893</v>
      </c>
      <c r="FA26" s="33">
        <f t="shared" si="66"/>
        <v>4.200700116686118E-2</v>
      </c>
      <c r="FB26" s="5">
        <v>318</v>
      </c>
      <c r="FC26" s="31">
        <f t="shared" si="80"/>
        <v>4.2622950819672045E-2</v>
      </c>
      <c r="FD26" s="8">
        <v>857</v>
      </c>
      <c r="FE26" s="35">
        <f t="shared" si="67"/>
        <v>4.0048543689320315E-2</v>
      </c>
      <c r="FF26" s="8">
        <v>305</v>
      </c>
      <c r="FG26" s="32">
        <f t="shared" si="81"/>
        <v>6.643356643356646E-2</v>
      </c>
      <c r="FH26" s="37">
        <v>824</v>
      </c>
      <c r="FI26" s="33">
        <f t="shared" si="82"/>
        <v>6.8741893644617358E-2</v>
      </c>
      <c r="FJ26" s="37">
        <v>286</v>
      </c>
      <c r="FK26" s="33">
        <f t="shared" si="83"/>
        <v>1.7793594306049876E-2</v>
      </c>
      <c r="FL26" s="9">
        <v>771</v>
      </c>
      <c r="FM26" s="30">
        <f t="shared" si="83"/>
        <v>5.184174624829474E-2</v>
      </c>
      <c r="FN26" s="9">
        <v>281</v>
      </c>
      <c r="FO26" s="30">
        <f t="shared" si="85"/>
        <v>1.4440433212996373E-2</v>
      </c>
      <c r="FP26" s="9">
        <v>733</v>
      </c>
      <c r="FQ26" s="31">
        <f t="shared" si="68"/>
        <v>0.13117283950617287</v>
      </c>
      <c r="FR26" s="9">
        <v>277</v>
      </c>
      <c r="FS26" s="31">
        <f t="shared" si="69"/>
        <v>0.1306122448979592</v>
      </c>
      <c r="FT26" s="9">
        <v>648</v>
      </c>
      <c r="FU26" s="33">
        <f t="shared" si="84"/>
        <v>0.21348314606741581</v>
      </c>
      <c r="FV26" s="9">
        <v>245</v>
      </c>
      <c r="FW26" s="33">
        <f t="shared" si="86"/>
        <v>0.2827225130890052</v>
      </c>
      <c r="FX26" s="9">
        <v>534</v>
      </c>
      <c r="FY26" s="11">
        <v>191</v>
      </c>
    </row>
    <row r="27" spans="2:181" s="5" customFormat="1" x14ac:dyDescent="0.2">
      <c r="B27" s="24" t="s">
        <v>18</v>
      </c>
      <c r="C27" s="25">
        <v>8489</v>
      </c>
      <c r="D27" s="27">
        <f t="shared" si="0"/>
        <v>3.5622788825179885E-2</v>
      </c>
      <c r="E27" s="25">
        <v>614</v>
      </c>
      <c r="F27" s="26">
        <f t="shared" si="1"/>
        <v>1.9933554817275656E-2</v>
      </c>
      <c r="G27" s="25">
        <v>8197</v>
      </c>
      <c r="H27" s="26">
        <f t="shared" si="2"/>
        <v>4.8477871578408882E-2</v>
      </c>
      <c r="I27" s="25">
        <v>602</v>
      </c>
      <c r="J27" s="29">
        <f t="shared" si="3"/>
        <v>3.436426116838498E-2</v>
      </c>
      <c r="K27" s="25">
        <v>7818</v>
      </c>
      <c r="L27" s="28">
        <f t="shared" si="4"/>
        <v>6.4107799101674079E-2</v>
      </c>
      <c r="M27" s="25">
        <v>582</v>
      </c>
      <c r="N27" s="26">
        <f t="shared" si="5"/>
        <v>2.464788732394374E-2</v>
      </c>
      <c r="O27" s="25">
        <v>7347</v>
      </c>
      <c r="P27" s="28">
        <f t="shared" si="6"/>
        <v>2.5830773526947848E-2</v>
      </c>
      <c r="Q27" s="25">
        <f>448+120</f>
        <v>568</v>
      </c>
      <c r="R27" s="28">
        <f t="shared" si="7"/>
        <v>2.8985507246376718E-2</v>
      </c>
      <c r="S27" s="25">
        <v>7162</v>
      </c>
      <c r="T27" s="26">
        <f t="shared" si="70"/>
        <v>1.790790221716887E-2</v>
      </c>
      <c r="U27" s="25">
        <v>552</v>
      </c>
      <c r="V27" s="29">
        <f t="shared" si="8"/>
        <v>2.6022304832713727E-2</v>
      </c>
      <c r="W27" s="25">
        <v>7036</v>
      </c>
      <c r="X27" s="29">
        <f t="shared" si="71"/>
        <v>3.7299130178387152E-2</v>
      </c>
      <c r="Y27" s="25">
        <v>538</v>
      </c>
      <c r="Z27" s="26">
        <f t="shared" si="9"/>
        <v>1.1278195488721776E-2</v>
      </c>
      <c r="AA27" s="25">
        <v>6783</v>
      </c>
      <c r="AB27" s="27">
        <f t="shared" si="72"/>
        <v>2.6327734906945066E-2</v>
      </c>
      <c r="AC27" s="25">
        <v>532</v>
      </c>
      <c r="AD27" s="29">
        <f t="shared" si="10"/>
        <v>2.5048169556840083E-2</v>
      </c>
      <c r="AE27" s="25">
        <v>6609</v>
      </c>
      <c r="AF27" s="38">
        <f t="shared" si="73"/>
        <v>4.0459697732997402E-2</v>
      </c>
      <c r="AG27" s="25">
        <v>519</v>
      </c>
      <c r="AH27" s="26">
        <f t="shared" si="11"/>
        <v>1.5655577299412915E-2</v>
      </c>
      <c r="AI27" s="25">
        <v>6352</v>
      </c>
      <c r="AJ27" s="28">
        <f t="shared" si="74"/>
        <v>4.5768850839644326E-2</v>
      </c>
      <c r="AK27" s="25">
        <f>393+118</f>
        <v>511</v>
      </c>
      <c r="AL27" s="28">
        <f t="shared" si="12"/>
        <v>1.9960079840319445E-2</v>
      </c>
      <c r="AM27" s="43">
        <v>6074</v>
      </c>
      <c r="AN27" s="28">
        <f t="shared" si="75"/>
        <v>2.4456063417102269E-2</v>
      </c>
      <c r="AO27" s="5">
        <v>501</v>
      </c>
      <c r="AP27" s="28">
        <f t="shared" si="13"/>
        <v>1.8292682926829285E-2</v>
      </c>
      <c r="AQ27" s="5">
        <v>5929</v>
      </c>
      <c r="AR27" s="28">
        <f t="shared" si="14"/>
        <v>1.8553513142071765E-2</v>
      </c>
      <c r="AS27" s="5">
        <v>492</v>
      </c>
      <c r="AT27" s="29">
        <f t="shared" si="15"/>
        <v>4.0816326530612734E-3</v>
      </c>
      <c r="AU27" s="5">
        <v>5821</v>
      </c>
      <c r="AV27" s="29">
        <f t="shared" si="16"/>
        <v>7.6164099013329434E-3</v>
      </c>
      <c r="AW27" s="1">
        <v>490</v>
      </c>
      <c r="AX27" s="26">
        <f t="shared" si="17"/>
        <v>2.044989775051187E-3</v>
      </c>
      <c r="AY27" s="1">
        <v>5777</v>
      </c>
      <c r="AZ27" s="27">
        <f t="shared" si="18"/>
        <v>5.9202507400313298E-3</v>
      </c>
      <c r="BA27" s="1">
        <f>373+116</f>
        <v>489</v>
      </c>
      <c r="BB27" s="29">
        <f t="shared" si="19"/>
        <v>4.1067761806981018E-3</v>
      </c>
      <c r="BC27" s="5">
        <v>5743</v>
      </c>
      <c r="BD27" s="31">
        <f t="shared" si="20"/>
        <v>1.5468447881877401E-2</v>
      </c>
      <c r="BE27" s="5">
        <v>487</v>
      </c>
      <c r="BF27" s="31">
        <f t="shared" si="21"/>
        <v>2.057613168724215E-3</v>
      </c>
      <c r="BG27" s="5">
        <v>5689</v>
      </c>
      <c r="BH27" s="33">
        <f t="shared" si="22"/>
        <v>3.1550317316409782E-2</v>
      </c>
      <c r="BI27" s="5">
        <f>370+116</f>
        <v>486</v>
      </c>
      <c r="BJ27" s="33">
        <f t="shared" si="23"/>
        <v>6.2111801242235032E-3</v>
      </c>
      <c r="BK27" s="5">
        <v>5515</v>
      </c>
      <c r="BL27" s="33">
        <f t="shared" si="24"/>
        <v>1.1555392516507723E-2</v>
      </c>
      <c r="BM27" s="5">
        <f>367+116</f>
        <v>483</v>
      </c>
      <c r="BN27" s="31">
        <f t="shared" si="25"/>
        <v>2.0746887966804906E-3</v>
      </c>
      <c r="BO27" s="5">
        <v>5452</v>
      </c>
      <c r="BP27" s="31">
        <f t="shared" si="26"/>
        <v>9.0690357208957906E-3</v>
      </c>
      <c r="BQ27" s="5">
        <f>366+116</f>
        <v>482</v>
      </c>
      <c r="BR27" s="31">
        <f t="shared" si="27"/>
        <v>2.0790020790020236E-3</v>
      </c>
      <c r="BS27" s="5">
        <v>5403</v>
      </c>
      <c r="BT27" s="33">
        <f t="shared" si="28"/>
        <v>1.1418944215649596E-2</v>
      </c>
      <c r="BU27" s="5">
        <f>365+116</f>
        <v>481</v>
      </c>
      <c r="BV27" s="33">
        <f t="shared" si="29"/>
        <v>6.2761506276149959E-3</v>
      </c>
      <c r="BW27" s="5">
        <v>5342</v>
      </c>
      <c r="BX27" s="31">
        <f t="shared" si="30"/>
        <v>9.2575099187606202E-3</v>
      </c>
      <c r="BY27" s="5">
        <f>362+116</f>
        <v>478</v>
      </c>
      <c r="BZ27" s="30">
        <f t="shared" si="31"/>
        <v>2.0964360587001352E-3</v>
      </c>
      <c r="CA27" s="5">
        <v>5293</v>
      </c>
      <c r="CB27" s="33">
        <f t="shared" si="32"/>
        <v>1.9256691700365813E-2</v>
      </c>
      <c r="CC27" s="5">
        <f>361+116</f>
        <v>477</v>
      </c>
      <c r="CD27" s="31">
        <f t="shared" si="33"/>
        <v>4.2105263157894424E-3</v>
      </c>
      <c r="CE27" s="5">
        <v>5193</v>
      </c>
      <c r="CF27" s="31">
        <f t="shared" si="34"/>
        <v>1.4654161781946007E-2</v>
      </c>
      <c r="CG27" s="5">
        <f>359+116</f>
        <v>475</v>
      </c>
      <c r="CH27" s="32">
        <f t="shared" si="35"/>
        <v>1.7130620985010614E-2</v>
      </c>
      <c r="CI27" s="5">
        <v>5118</v>
      </c>
      <c r="CJ27" s="33">
        <f t="shared" si="36"/>
        <v>2.2168963451168366E-2</v>
      </c>
      <c r="CK27" s="5">
        <f>351+116</f>
        <v>467</v>
      </c>
      <c r="CL27" s="33">
        <f t="shared" si="37"/>
        <v>1.3015184381778733E-2</v>
      </c>
      <c r="CM27" s="5">
        <v>5007</v>
      </c>
      <c r="CN27" s="30">
        <f t="shared" si="38"/>
        <v>1.1106623586429665E-2</v>
      </c>
      <c r="CO27" s="5">
        <f>348+113</f>
        <v>461</v>
      </c>
      <c r="CP27" s="32">
        <f t="shared" si="39"/>
        <v>3.1319910514541416E-2</v>
      </c>
      <c r="CQ27" s="5">
        <v>4952</v>
      </c>
      <c r="CR27" s="31">
        <f t="shared" si="40"/>
        <v>1.8301460004112702E-2</v>
      </c>
      <c r="CS27" s="5">
        <f>348+99</f>
        <v>447</v>
      </c>
      <c r="CT27" s="33">
        <f t="shared" si="41"/>
        <v>6.7567567567567988E-3</v>
      </c>
      <c r="CU27" s="5">
        <v>4863</v>
      </c>
      <c r="CV27" s="33">
        <f t="shared" si="42"/>
        <v>2.1209575808483816E-2</v>
      </c>
      <c r="CW27" s="5">
        <v>444</v>
      </c>
      <c r="CX27" s="31">
        <f t="shared" si="76"/>
        <v>4.5248868778280382E-3</v>
      </c>
      <c r="CY27" s="5">
        <v>4762</v>
      </c>
      <c r="CZ27" s="31">
        <f t="shared" si="43"/>
        <v>1.0182435299109116E-2</v>
      </c>
      <c r="DA27" s="5">
        <v>442</v>
      </c>
      <c r="DB27" s="33">
        <f t="shared" si="77"/>
        <v>2.0785219399538146E-2</v>
      </c>
      <c r="DC27" s="5">
        <v>4714</v>
      </c>
      <c r="DD27" s="33">
        <f t="shared" si="44"/>
        <v>2.9257641921397459E-2</v>
      </c>
      <c r="DE27" s="5">
        <v>433</v>
      </c>
      <c r="DF27" s="31">
        <f t="shared" si="78"/>
        <v>1.4051522248243575E-2</v>
      </c>
      <c r="DG27" s="5">
        <v>4580</v>
      </c>
      <c r="DH27" s="31">
        <f t="shared" si="45"/>
        <v>1.7551655187736159E-2</v>
      </c>
      <c r="DI27" s="8">
        <v>427</v>
      </c>
      <c r="DJ27" s="32">
        <f t="shared" si="79"/>
        <v>0.31790123456790131</v>
      </c>
      <c r="DK27" s="34"/>
      <c r="DL27" s="8">
        <v>4501</v>
      </c>
      <c r="DM27" s="33">
        <f t="shared" si="46"/>
        <v>3.5903337169159943E-2</v>
      </c>
      <c r="DN27" s="8">
        <v>324</v>
      </c>
      <c r="DO27" s="33">
        <f t="shared" si="47"/>
        <v>9.4594594594594517E-2</v>
      </c>
      <c r="DP27" s="8">
        <v>4345</v>
      </c>
      <c r="DQ27" s="30">
        <f t="shared" si="48"/>
        <v>2.1391631405735856E-2</v>
      </c>
      <c r="DR27" s="8">
        <v>296</v>
      </c>
      <c r="DS27" s="31">
        <f t="shared" si="49"/>
        <v>2.7777777777777679E-2</v>
      </c>
      <c r="DT27" s="8">
        <v>4254</v>
      </c>
      <c r="DU27" s="30">
        <f t="shared" si="50"/>
        <v>6.1907139291063507E-2</v>
      </c>
      <c r="DV27" s="8">
        <v>288</v>
      </c>
      <c r="DW27" s="33">
        <f t="shared" si="51"/>
        <v>0.10769230769230775</v>
      </c>
      <c r="DX27" s="5">
        <v>4006</v>
      </c>
      <c r="DY27" s="31">
        <f t="shared" si="52"/>
        <v>7.8331090174966311E-2</v>
      </c>
      <c r="DZ27" s="5">
        <v>260</v>
      </c>
      <c r="EA27" s="31">
        <f t="shared" si="53"/>
        <v>4.4176706827309342E-2</v>
      </c>
      <c r="EB27" s="5">
        <v>3715</v>
      </c>
      <c r="EC27" s="33">
        <f t="shared" si="54"/>
        <v>0.17488931056293477</v>
      </c>
      <c r="ED27" s="5">
        <v>249</v>
      </c>
      <c r="EE27" s="33">
        <f t="shared" si="55"/>
        <v>0.10666666666666669</v>
      </c>
      <c r="EF27" s="5">
        <v>3162</v>
      </c>
      <c r="EG27" s="31">
        <f t="shared" si="56"/>
        <v>0.10020876826722347</v>
      </c>
      <c r="EH27" s="5">
        <v>225</v>
      </c>
      <c r="EI27" s="31">
        <f t="shared" si="57"/>
        <v>9.2233009708737823E-2</v>
      </c>
      <c r="EJ27" s="5">
        <v>2874</v>
      </c>
      <c r="EK27" s="33">
        <f t="shared" si="58"/>
        <v>0.12529365700861383</v>
      </c>
      <c r="EL27" s="5">
        <v>206</v>
      </c>
      <c r="EM27" s="36">
        <f t="shared" si="59"/>
        <v>0.21893491124260356</v>
      </c>
      <c r="EN27" s="5">
        <v>2554</v>
      </c>
      <c r="EO27" s="31">
        <f t="shared" si="60"/>
        <v>0.11333914559721014</v>
      </c>
      <c r="EP27" s="5">
        <v>169</v>
      </c>
      <c r="EQ27" s="35">
        <f t="shared" si="61"/>
        <v>0.12666666666666671</v>
      </c>
      <c r="ER27" s="5">
        <v>2294</v>
      </c>
      <c r="ES27" s="33">
        <f t="shared" si="62"/>
        <v>0.18491735537190079</v>
      </c>
      <c r="ET27" s="5">
        <v>150</v>
      </c>
      <c r="EU27" s="36">
        <f t="shared" si="63"/>
        <v>0.28205128205128216</v>
      </c>
      <c r="EV27" s="5">
        <v>1936</v>
      </c>
      <c r="EW27" s="31">
        <f t="shared" si="64"/>
        <v>0.16346153846153855</v>
      </c>
      <c r="EX27" s="5">
        <v>117</v>
      </c>
      <c r="EY27" s="30">
        <f t="shared" si="65"/>
        <v>8.3333333333333259E-2</v>
      </c>
      <c r="EZ27" s="5">
        <v>1664</v>
      </c>
      <c r="FA27" s="32">
        <f t="shared" si="66"/>
        <v>0.20057720057720063</v>
      </c>
      <c r="FB27" s="5">
        <v>108</v>
      </c>
      <c r="FC27" s="31">
        <f t="shared" si="80"/>
        <v>0.13684210526315788</v>
      </c>
      <c r="FD27" s="8">
        <v>1386</v>
      </c>
      <c r="FE27" s="33">
        <f t="shared" si="67"/>
        <v>0.17557251908396942</v>
      </c>
      <c r="FF27" s="8">
        <v>95</v>
      </c>
      <c r="FG27" s="33">
        <f t="shared" si="81"/>
        <v>0.17283950617283961</v>
      </c>
      <c r="FH27" s="37">
        <v>1179</v>
      </c>
      <c r="FI27" s="30">
        <f t="shared" si="82"/>
        <v>0.13039309683604983</v>
      </c>
      <c r="FJ27" s="37">
        <v>81</v>
      </c>
      <c r="FK27" s="30">
        <f t="shared" si="83"/>
        <v>9.4594594594594517E-2</v>
      </c>
      <c r="FL27" s="8">
        <v>1043</v>
      </c>
      <c r="FM27" s="30">
        <f t="shared" si="83"/>
        <v>0.30374999999999996</v>
      </c>
      <c r="FN27" s="8">
        <v>74</v>
      </c>
      <c r="FO27" s="30">
        <f t="shared" si="85"/>
        <v>0.17460317460317465</v>
      </c>
      <c r="FP27" s="8">
        <v>800</v>
      </c>
      <c r="FQ27" s="31">
        <f t="shared" si="68"/>
        <v>0.38888888888888884</v>
      </c>
      <c r="FR27" s="8">
        <v>63</v>
      </c>
      <c r="FS27" s="31">
        <f t="shared" si="69"/>
        <v>0.21153846153846145</v>
      </c>
      <c r="FT27" s="8">
        <v>576</v>
      </c>
      <c r="FU27" s="33">
        <f t="shared" si="84"/>
        <v>0.48071979434447298</v>
      </c>
      <c r="FV27" s="8">
        <v>52</v>
      </c>
      <c r="FW27" s="33">
        <f t="shared" si="86"/>
        <v>0.33333333333333326</v>
      </c>
      <c r="FX27" s="8">
        <v>389</v>
      </c>
      <c r="FY27" s="39">
        <v>39</v>
      </c>
    </row>
    <row r="28" spans="2:181" x14ac:dyDescent="0.2">
      <c r="B28" s="40" t="s">
        <v>19</v>
      </c>
      <c r="C28" s="25">
        <v>3580</v>
      </c>
      <c r="D28" s="27">
        <f t="shared" si="0"/>
        <v>2.1106674272675319E-2</v>
      </c>
      <c r="E28" s="25">
        <v>116</v>
      </c>
      <c r="F28" s="29">
        <f t="shared" si="1"/>
        <v>2.6548672566371723E-2</v>
      </c>
      <c r="G28" s="25">
        <v>3506</v>
      </c>
      <c r="H28" s="26">
        <f t="shared" si="2"/>
        <v>2.305223227312525E-2</v>
      </c>
      <c r="I28" s="25">
        <v>113</v>
      </c>
      <c r="J28" s="26">
        <f t="shared" si="3"/>
        <v>8.9285714285713969E-3</v>
      </c>
      <c r="K28" s="25">
        <v>3427</v>
      </c>
      <c r="L28" s="29">
        <f t="shared" si="4"/>
        <v>2.5127131319174323E-2</v>
      </c>
      <c r="M28" s="25">
        <v>112</v>
      </c>
      <c r="N28" s="29">
        <f t="shared" si="5"/>
        <v>9.009009009008917E-3</v>
      </c>
      <c r="O28" s="25">
        <v>3343</v>
      </c>
      <c r="P28" s="27">
        <f t="shared" si="6"/>
        <v>9.3599033816424981E-3</v>
      </c>
      <c r="Q28" s="25">
        <v>111</v>
      </c>
      <c r="R28" s="27">
        <f t="shared" si="7"/>
        <v>0</v>
      </c>
      <c r="S28" s="25">
        <v>3312</v>
      </c>
      <c r="T28" s="27">
        <f t="shared" si="70"/>
        <v>1.0372178157413092E-2</v>
      </c>
      <c r="U28" s="25">
        <v>111</v>
      </c>
      <c r="V28" s="27">
        <f t="shared" si="8"/>
        <v>0</v>
      </c>
      <c r="W28" s="25">
        <v>3278</v>
      </c>
      <c r="X28" s="27">
        <f t="shared" si="71"/>
        <v>1.1416229558778079E-2</v>
      </c>
      <c r="Y28" s="25">
        <v>111</v>
      </c>
      <c r="Z28" s="27">
        <f t="shared" si="9"/>
        <v>0</v>
      </c>
      <c r="AA28" s="25">
        <v>3241</v>
      </c>
      <c r="AB28" s="26">
        <f t="shared" si="72"/>
        <v>1.8221803330191744E-2</v>
      </c>
      <c r="AC28" s="25">
        <v>111</v>
      </c>
      <c r="AD28" s="26">
        <f t="shared" si="10"/>
        <v>9.0909090909090384E-3</v>
      </c>
      <c r="AE28" s="25">
        <v>3183</v>
      </c>
      <c r="AF28" s="28">
        <f t="shared" si="73"/>
        <v>2.9430789133247037E-2</v>
      </c>
      <c r="AG28" s="25">
        <v>110</v>
      </c>
      <c r="AH28" s="29">
        <f t="shared" si="11"/>
        <v>5.7692307692307709E-2</v>
      </c>
      <c r="AI28" s="25">
        <v>3092</v>
      </c>
      <c r="AJ28" s="29">
        <f t="shared" si="74"/>
        <v>1.0457516339869244E-2</v>
      </c>
      <c r="AK28" s="25">
        <v>104</v>
      </c>
      <c r="AL28" s="26">
        <f t="shared" si="12"/>
        <v>9.7087378640776656E-3</v>
      </c>
      <c r="AM28" s="43">
        <v>3060</v>
      </c>
      <c r="AN28" s="26">
        <f t="shared" si="75"/>
        <v>9.23482849604218E-3</v>
      </c>
      <c r="AO28" s="5">
        <v>103</v>
      </c>
      <c r="AP28" s="29">
        <f t="shared" si="13"/>
        <v>1.980198019801982E-2</v>
      </c>
      <c r="AQ28" s="5">
        <v>3032</v>
      </c>
      <c r="AR28" s="29">
        <f t="shared" si="14"/>
        <v>1.5745393634840843E-2</v>
      </c>
      <c r="AS28" s="5">
        <v>101</v>
      </c>
      <c r="AT28" s="27">
        <f t="shared" si="15"/>
        <v>0</v>
      </c>
      <c r="AU28" s="5">
        <v>2985</v>
      </c>
      <c r="AV28" s="27">
        <f t="shared" si="16"/>
        <v>4.0363269424823489E-3</v>
      </c>
      <c r="AW28" s="1">
        <v>101</v>
      </c>
      <c r="AX28" s="27">
        <f t="shared" si="17"/>
        <v>0</v>
      </c>
      <c r="AY28" s="1">
        <v>2973</v>
      </c>
      <c r="AZ28" s="26">
        <f t="shared" si="18"/>
        <v>1.3292433537832382E-2</v>
      </c>
      <c r="BA28" s="1">
        <v>101</v>
      </c>
      <c r="BB28" s="27">
        <f t="shared" si="19"/>
        <v>0</v>
      </c>
      <c r="BC28" s="5">
        <v>2934</v>
      </c>
      <c r="BD28" s="33">
        <f t="shared" si="20"/>
        <v>2.2000687521485096E-2</v>
      </c>
      <c r="BE28" s="5">
        <v>101</v>
      </c>
      <c r="BF28" s="30">
        <f t="shared" si="21"/>
        <v>1.0000000000000009E-2</v>
      </c>
      <c r="BG28" s="5">
        <v>2909</v>
      </c>
      <c r="BH28" s="30">
        <f t="shared" si="22"/>
        <v>5.5305910819218873E-3</v>
      </c>
      <c r="BI28" s="5">
        <v>100</v>
      </c>
      <c r="BJ28" s="31">
        <f t="shared" si="23"/>
        <v>1.0101010101010166E-2</v>
      </c>
      <c r="BK28" s="5">
        <v>2893</v>
      </c>
      <c r="BL28" s="31">
        <f t="shared" si="24"/>
        <v>9.0687129403557165E-3</v>
      </c>
      <c r="BM28" s="5">
        <f>99</f>
        <v>99</v>
      </c>
      <c r="BN28" s="33">
        <f t="shared" si="25"/>
        <v>2.0618556701030855E-2</v>
      </c>
      <c r="BO28" s="5">
        <v>2867</v>
      </c>
      <c r="BP28" s="33">
        <f t="shared" si="26"/>
        <v>1.2358757062146841E-2</v>
      </c>
      <c r="BQ28" s="5">
        <v>97</v>
      </c>
      <c r="BR28" s="30">
        <f t="shared" si="27"/>
        <v>1.0416666666666741E-2</v>
      </c>
      <c r="BS28" s="5">
        <v>2832</v>
      </c>
      <c r="BT28" s="30">
        <f t="shared" si="28"/>
        <v>9.6256684491977662E-3</v>
      </c>
      <c r="BU28" s="5">
        <v>96</v>
      </c>
      <c r="BV28" s="31">
        <f t="shared" si="29"/>
        <v>1.0526315789473717E-2</v>
      </c>
      <c r="BW28" s="5">
        <v>2805</v>
      </c>
      <c r="BX28" s="30">
        <f t="shared" si="30"/>
        <v>1.5200868621064068E-2</v>
      </c>
      <c r="BY28" s="5">
        <v>95</v>
      </c>
      <c r="BZ28" s="33">
        <f t="shared" si="31"/>
        <v>1.0638297872340496E-2</v>
      </c>
      <c r="CA28" s="5">
        <v>2763</v>
      </c>
      <c r="CB28" s="30">
        <f t="shared" si="32"/>
        <v>1.6182420007355702E-2</v>
      </c>
      <c r="CC28" s="5">
        <v>94</v>
      </c>
      <c r="CD28" s="31">
        <f t="shared" si="33"/>
        <v>0</v>
      </c>
      <c r="CE28" s="5">
        <v>2719</v>
      </c>
      <c r="CF28" s="31">
        <f t="shared" si="34"/>
        <v>1.7589820359281472E-2</v>
      </c>
      <c r="CG28" s="5">
        <v>94</v>
      </c>
      <c r="CH28" s="33">
        <f t="shared" si="35"/>
        <v>1.0752688172043001E-2</v>
      </c>
      <c r="CI28" s="5">
        <v>2672</v>
      </c>
      <c r="CJ28" s="33">
        <f t="shared" si="36"/>
        <v>1.7904761904761868E-2</v>
      </c>
      <c r="CK28" s="5">
        <v>93</v>
      </c>
      <c r="CL28" s="30">
        <f t="shared" si="37"/>
        <v>0</v>
      </c>
      <c r="CM28" s="5">
        <v>2625</v>
      </c>
      <c r="CN28" s="35">
        <f t="shared" si="38"/>
        <v>1.4688828759180428E-2</v>
      </c>
      <c r="CO28" s="5">
        <v>93</v>
      </c>
      <c r="CP28" s="33">
        <f t="shared" si="39"/>
        <v>1.0869565217391353E-2</v>
      </c>
      <c r="CQ28" s="5">
        <v>2587</v>
      </c>
      <c r="CR28" s="33">
        <f t="shared" si="40"/>
        <v>1.8905080740448943E-2</v>
      </c>
      <c r="CS28" s="5">
        <f>92</f>
        <v>92</v>
      </c>
      <c r="CT28" s="30">
        <f t="shared" si="41"/>
        <v>0</v>
      </c>
      <c r="CU28" s="5">
        <v>2539</v>
      </c>
      <c r="CV28" s="31">
        <f t="shared" si="42"/>
        <v>1.2764260071798983E-2</v>
      </c>
      <c r="CW28" s="5">
        <v>92</v>
      </c>
      <c r="CX28" s="30">
        <f t="shared" si="76"/>
        <v>1.098901098901095E-2</v>
      </c>
      <c r="CY28" s="5">
        <v>2507</v>
      </c>
      <c r="CZ28" s="33">
        <f t="shared" si="43"/>
        <v>3.9817503110742392E-2</v>
      </c>
      <c r="DA28" s="5">
        <v>91</v>
      </c>
      <c r="DB28" s="30">
        <f t="shared" si="77"/>
        <v>1.1111111111111072E-2</v>
      </c>
      <c r="DC28" s="5">
        <v>2411</v>
      </c>
      <c r="DD28" s="30">
        <f t="shared" si="44"/>
        <v>2.8583617747440337E-2</v>
      </c>
      <c r="DE28" s="5">
        <v>90</v>
      </c>
      <c r="DF28" s="31">
        <f t="shared" si="78"/>
        <v>1.1235955056179803E-2</v>
      </c>
      <c r="DG28" s="5">
        <v>2344</v>
      </c>
      <c r="DH28" s="30">
        <f t="shared" si="45"/>
        <v>3.8546743464776156E-2</v>
      </c>
      <c r="DI28" s="8">
        <v>89</v>
      </c>
      <c r="DJ28" s="32">
        <f t="shared" si="79"/>
        <v>0.1558441558441559</v>
      </c>
      <c r="DK28" s="34"/>
      <c r="DL28" s="8">
        <v>2257</v>
      </c>
      <c r="DM28" s="33">
        <f t="shared" si="46"/>
        <v>0.1628026790314272</v>
      </c>
      <c r="DN28" s="8">
        <v>77</v>
      </c>
      <c r="DO28" s="33">
        <f t="shared" si="47"/>
        <v>8.4507042253521236E-2</v>
      </c>
      <c r="DP28" s="8">
        <v>1941</v>
      </c>
      <c r="DQ28" s="30">
        <f t="shared" si="48"/>
        <v>8.6786114221724553E-2</v>
      </c>
      <c r="DR28" s="8">
        <v>71</v>
      </c>
      <c r="DS28" s="31">
        <f t="shared" si="49"/>
        <v>4.4117647058823595E-2</v>
      </c>
      <c r="DT28" s="8">
        <v>1786</v>
      </c>
      <c r="DU28" s="31">
        <f t="shared" si="50"/>
        <v>0.12256442489000619</v>
      </c>
      <c r="DV28" s="8">
        <v>68</v>
      </c>
      <c r="DW28" s="33">
        <f t="shared" si="51"/>
        <v>0.19298245614035081</v>
      </c>
      <c r="DX28" s="5">
        <v>1591</v>
      </c>
      <c r="DY28" s="33">
        <f t="shared" si="52"/>
        <v>0.3040983606557377</v>
      </c>
      <c r="DZ28" s="5">
        <v>57</v>
      </c>
      <c r="EA28" s="30">
        <f t="shared" si="53"/>
        <v>0.1399999999999999</v>
      </c>
      <c r="EB28" s="5">
        <v>1220</v>
      </c>
      <c r="EC28" s="31">
        <f t="shared" si="54"/>
        <v>0.11313868613138678</v>
      </c>
      <c r="ED28" s="5">
        <v>50</v>
      </c>
      <c r="EE28" s="31">
        <f t="shared" si="55"/>
        <v>0.28205128205128216</v>
      </c>
      <c r="EF28" s="5">
        <v>1096</v>
      </c>
      <c r="EG28" s="33">
        <f t="shared" si="56"/>
        <v>0.33333333333333326</v>
      </c>
      <c r="EH28" s="5">
        <v>39</v>
      </c>
      <c r="EI28" s="33">
        <f t="shared" si="57"/>
        <v>0.56000000000000005</v>
      </c>
      <c r="EJ28" s="5">
        <v>822</v>
      </c>
      <c r="EK28" s="33">
        <f t="shared" si="58"/>
        <v>0.27639751552795033</v>
      </c>
      <c r="EL28" s="5">
        <v>25</v>
      </c>
      <c r="EM28" s="30">
        <f t="shared" si="59"/>
        <v>0</v>
      </c>
      <c r="EN28" s="5">
        <v>644</v>
      </c>
      <c r="EO28" s="31">
        <f t="shared" si="60"/>
        <v>0.23608445297504788</v>
      </c>
      <c r="EP28" s="5">
        <v>25</v>
      </c>
      <c r="EQ28" s="35">
        <f t="shared" si="61"/>
        <v>0.19047619047619047</v>
      </c>
      <c r="ER28" s="5">
        <v>521</v>
      </c>
      <c r="ES28" s="32">
        <f t="shared" si="62"/>
        <v>0.33589743589743581</v>
      </c>
      <c r="ET28" s="5">
        <v>21</v>
      </c>
      <c r="EU28" s="36">
        <f t="shared" si="63"/>
        <v>0.23529411764705888</v>
      </c>
      <c r="EV28" s="5">
        <v>390</v>
      </c>
      <c r="EW28" s="33">
        <f t="shared" si="64"/>
        <v>0.31756756756756754</v>
      </c>
      <c r="EX28" s="5">
        <v>17</v>
      </c>
      <c r="EY28" s="30">
        <f t="shared" si="65"/>
        <v>0.21428571428571419</v>
      </c>
      <c r="EZ28" s="5">
        <v>296</v>
      </c>
      <c r="FA28" s="30">
        <f t="shared" si="66"/>
        <v>0.22314049586776852</v>
      </c>
      <c r="FB28" s="5">
        <v>14</v>
      </c>
      <c r="FC28" s="31">
        <f t="shared" si="80"/>
        <v>0.39999999999999991</v>
      </c>
      <c r="FD28" s="8">
        <v>242</v>
      </c>
      <c r="FE28" s="35">
        <f t="shared" si="67"/>
        <v>0.46666666666666656</v>
      </c>
      <c r="FF28" s="8">
        <v>10</v>
      </c>
      <c r="FG28" s="33">
        <f t="shared" si="81"/>
        <v>0.4285714285714286</v>
      </c>
      <c r="FH28" s="44">
        <v>165</v>
      </c>
      <c r="FI28" s="33">
        <f t="shared" si="82"/>
        <v>0.5</v>
      </c>
      <c r="FJ28" s="37">
        <v>7</v>
      </c>
      <c r="FK28" s="35">
        <f t="shared" si="83"/>
        <v>0.39999999999999991</v>
      </c>
      <c r="FL28" s="9">
        <v>110</v>
      </c>
      <c r="FM28" s="31">
        <f t="shared" si="83"/>
        <v>0.134020618556701</v>
      </c>
      <c r="FN28" s="9">
        <v>5</v>
      </c>
      <c r="FO28" s="33">
        <f t="shared" si="85"/>
        <v>0.66666666666666674</v>
      </c>
      <c r="FP28" s="9">
        <v>97</v>
      </c>
      <c r="FQ28" s="32">
        <f t="shared" si="68"/>
        <v>0.27631578947368429</v>
      </c>
      <c r="FR28" s="9">
        <v>3</v>
      </c>
      <c r="FS28" s="30">
        <f t="shared" si="69"/>
        <v>0</v>
      </c>
      <c r="FT28" s="9">
        <v>76</v>
      </c>
      <c r="FU28" s="33">
        <f t="shared" si="84"/>
        <v>0.1692307692307693</v>
      </c>
      <c r="FV28" s="9">
        <v>3</v>
      </c>
      <c r="FW28" s="31">
        <f t="shared" si="86"/>
        <v>0</v>
      </c>
      <c r="FX28" s="9">
        <v>65</v>
      </c>
      <c r="FY28" s="11">
        <v>3</v>
      </c>
    </row>
    <row r="29" spans="2:181" x14ac:dyDescent="0.2">
      <c r="B29" s="24" t="s">
        <v>20</v>
      </c>
      <c r="C29" s="25">
        <v>10537</v>
      </c>
      <c r="D29" s="27">
        <f t="shared" si="0"/>
        <v>1.4441128333493758E-2</v>
      </c>
      <c r="E29" s="25">
        <v>760</v>
      </c>
      <c r="F29" s="27">
        <f t="shared" si="1"/>
        <v>1.3175230566535578E-3</v>
      </c>
      <c r="G29" s="25">
        <v>10387</v>
      </c>
      <c r="H29" s="26">
        <f t="shared" si="2"/>
        <v>1.6738449490994567E-2</v>
      </c>
      <c r="I29" s="25">
        <v>759</v>
      </c>
      <c r="J29" s="27">
        <f t="shared" si="3"/>
        <v>1.3192612137202797E-3</v>
      </c>
      <c r="K29" s="25">
        <v>10216</v>
      </c>
      <c r="L29" s="29">
        <f t="shared" si="4"/>
        <v>3.6631151699644926E-2</v>
      </c>
      <c r="M29" s="25">
        <v>758</v>
      </c>
      <c r="N29" s="27">
        <f t="shared" si="5"/>
        <v>1.3210039630118242E-3</v>
      </c>
      <c r="O29" s="25">
        <v>9855</v>
      </c>
      <c r="P29" s="27">
        <f t="shared" si="6"/>
        <v>1.2118722399096171E-2</v>
      </c>
      <c r="Q29" s="25">
        <f>430+327</f>
        <v>757</v>
      </c>
      <c r="R29" s="26">
        <f t="shared" si="7"/>
        <v>1.0680907877169465E-2</v>
      </c>
      <c r="S29" s="25">
        <v>9737</v>
      </c>
      <c r="T29" s="26">
        <f t="shared" si="70"/>
        <v>2.8194297782470956E-2</v>
      </c>
      <c r="U29" s="25">
        <f>423+326</f>
        <v>749</v>
      </c>
      <c r="V29" s="29">
        <f t="shared" si="8"/>
        <v>2.6027397260274032E-2</v>
      </c>
      <c r="W29" s="25">
        <v>9470</v>
      </c>
      <c r="X29" s="29">
        <f t="shared" si="71"/>
        <v>4.1345942379590994E-2</v>
      </c>
      <c r="Y29" s="25">
        <v>730</v>
      </c>
      <c r="Z29" s="27">
        <f t="shared" si="9"/>
        <v>2.528089887640439E-2</v>
      </c>
      <c r="AA29" s="25">
        <v>9094</v>
      </c>
      <c r="AB29" s="26">
        <f t="shared" si="72"/>
        <v>3.6353276353276343E-2</v>
      </c>
      <c r="AC29" s="25">
        <v>712</v>
      </c>
      <c r="AD29" s="26">
        <f t="shared" si="10"/>
        <v>2.5936599423631135E-2</v>
      </c>
      <c r="AE29" s="25">
        <v>8775</v>
      </c>
      <c r="AF29" s="28">
        <f t="shared" si="73"/>
        <v>5.5829623390686978E-2</v>
      </c>
      <c r="AG29" s="25">
        <v>694</v>
      </c>
      <c r="AH29" s="29">
        <f t="shared" si="11"/>
        <v>4.3609022556390986E-2</v>
      </c>
      <c r="AI29" s="25">
        <v>8311</v>
      </c>
      <c r="AJ29" s="28">
        <f t="shared" si="74"/>
        <v>5.5231081767394663E-2</v>
      </c>
      <c r="AK29" s="25">
        <v>665</v>
      </c>
      <c r="AL29" s="26">
        <f t="shared" si="12"/>
        <v>7.575757575757569E-3</v>
      </c>
      <c r="AM29" s="43">
        <v>7876</v>
      </c>
      <c r="AN29" s="28">
        <f t="shared" si="75"/>
        <v>3.9324359989443058E-2</v>
      </c>
      <c r="AO29" s="5">
        <v>660</v>
      </c>
      <c r="AP29" s="29">
        <f t="shared" si="13"/>
        <v>2.9641185647425905E-2</v>
      </c>
      <c r="AQ29" s="5">
        <v>7578</v>
      </c>
      <c r="AR29" s="29">
        <f t="shared" si="14"/>
        <v>3.4963124829281655E-2</v>
      </c>
      <c r="AS29" s="5">
        <v>641</v>
      </c>
      <c r="AT29" s="27">
        <f t="shared" si="15"/>
        <v>1.5624999999999112E-3</v>
      </c>
      <c r="AU29" s="5">
        <v>7322</v>
      </c>
      <c r="AV29" s="27">
        <f t="shared" si="16"/>
        <v>2.43424734191382E-2</v>
      </c>
      <c r="AW29" s="1">
        <v>640</v>
      </c>
      <c r="AX29" s="27">
        <f t="shared" si="17"/>
        <v>1.5649452269170805E-3</v>
      </c>
      <c r="AY29" s="1">
        <v>7148</v>
      </c>
      <c r="AZ29" s="27">
        <f t="shared" si="18"/>
        <v>2.539090517859699E-2</v>
      </c>
      <c r="BA29" s="1">
        <f>340+299</f>
        <v>639</v>
      </c>
      <c r="BB29" s="27">
        <f t="shared" si="19"/>
        <v>4.7169811320755262E-3</v>
      </c>
      <c r="BC29" s="5">
        <v>6971</v>
      </c>
      <c r="BD29" s="31">
        <f t="shared" si="20"/>
        <v>3.7144515380150844E-2</v>
      </c>
      <c r="BE29" s="5">
        <v>636</v>
      </c>
      <c r="BF29" s="31">
        <f t="shared" si="21"/>
        <v>9.52380952380949E-3</v>
      </c>
      <c r="BG29" s="5">
        <v>6892</v>
      </c>
      <c r="BH29" s="32">
        <f t="shared" si="22"/>
        <v>3.3593281343731185E-2</v>
      </c>
      <c r="BI29" s="5">
        <v>630</v>
      </c>
      <c r="BJ29" s="33">
        <f t="shared" si="23"/>
        <v>9.7560975609756184E-2</v>
      </c>
      <c r="BK29" s="5">
        <v>6668</v>
      </c>
      <c r="BL29" s="32">
        <f t="shared" si="24"/>
        <v>3.0921459492888159E-2</v>
      </c>
      <c r="BM29" s="5">
        <f>293+281</f>
        <v>574</v>
      </c>
      <c r="BN29" s="31">
        <f t="shared" si="25"/>
        <v>2.683363148479434E-2</v>
      </c>
      <c r="BO29" s="5">
        <v>6468</v>
      </c>
      <c r="BP29" s="33">
        <f t="shared" si="26"/>
        <v>2.4228028503562982E-2</v>
      </c>
      <c r="BQ29" s="5">
        <f>291+268</f>
        <v>559</v>
      </c>
      <c r="BR29" s="42">
        <f t="shared" si="27"/>
        <v>0.10474308300395263</v>
      </c>
      <c r="BS29" s="5">
        <v>6315</v>
      </c>
      <c r="BT29" s="30">
        <f t="shared" si="28"/>
        <v>1.9864341085271242E-2</v>
      </c>
      <c r="BU29" s="5">
        <f>282+224</f>
        <v>506</v>
      </c>
      <c r="BV29" s="33">
        <f t="shared" si="29"/>
        <v>9.9800399201597223E-3</v>
      </c>
      <c r="BW29" s="5">
        <v>6192</v>
      </c>
      <c r="BX29" s="33">
        <f t="shared" si="30"/>
        <v>0.20961125219769494</v>
      </c>
      <c r="BY29" s="5">
        <f>278+223</f>
        <v>501</v>
      </c>
      <c r="BZ29" s="30">
        <f t="shared" si="31"/>
        <v>4.0080160320641323E-3</v>
      </c>
      <c r="CA29" s="5">
        <v>5119</v>
      </c>
      <c r="CB29" s="33">
        <f t="shared" si="32"/>
        <v>2.4414648789273574E-2</v>
      </c>
      <c r="CC29" s="5">
        <f>276+223</f>
        <v>499</v>
      </c>
      <c r="CD29" s="31">
        <f t="shared" si="33"/>
        <v>1.4227642276422703E-2</v>
      </c>
      <c r="CE29" s="5">
        <v>4997</v>
      </c>
      <c r="CF29" s="31">
        <f t="shared" si="34"/>
        <v>1.7304560260586355E-2</v>
      </c>
      <c r="CG29" s="5">
        <f>271+221</f>
        <v>492</v>
      </c>
      <c r="CH29" s="33">
        <f t="shared" si="35"/>
        <v>1.4432989690721598E-2</v>
      </c>
      <c r="CI29" s="5">
        <v>4912</v>
      </c>
      <c r="CJ29" s="33">
        <f t="shared" si="36"/>
        <v>1.73985086992543E-2</v>
      </c>
      <c r="CK29" s="5">
        <f>266+219</f>
        <v>485</v>
      </c>
      <c r="CL29" s="30">
        <f t="shared" si="37"/>
        <v>6.2240663900414717E-3</v>
      </c>
      <c r="CM29" s="5">
        <v>4828</v>
      </c>
      <c r="CN29" s="30">
        <f t="shared" si="38"/>
        <v>1.7277707543194243E-2</v>
      </c>
      <c r="CO29" s="5">
        <f>263+219</f>
        <v>482</v>
      </c>
      <c r="CP29" s="32">
        <f t="shared" si="39"/>
        <v>4.3290043290043378E-2</v>
      </c>
      <c r="CQ29" s="5">
        <v>4746</v>
      </c>
      <c r="CR29" s="30">
        <f t="shared" si="40"/>
        <v>1.7363344051446905E-2</v>
      </c>
      <c r="CS29" s="5">
        <f>263+199</f>
        <v>462</v>
      </c>
      <c r="CT29" s="33">
        <f t="shared" si="41"/>
        <v>4.2889390519187387E-2</v>
      </c>
      <c r="CU29" s="5">
        <v>4665</v>
      </c>
      <c r="CV29" s="31">
        <f t="shared" si="42"/>
        <v>2.6628521126760507E-2</v>
      </c>
      <c r="CW29" s="5">
        <v>443</v>
      </c>
      <c r="CX29" s="31">
        <f t="shared" si="76"/>
        <v>4.5351473922903285E-3</v>
      </c>
      <c r="CY29" s="5">
        <v>4544</v>
      </c>
      <c r="CZ29" s="33">
        <f t="shared" si="43"/>
        <v>0.11866075824716882</v>
      </c>
      <c r="DA29" s="5">
        <v>441</v>
      </c>
      <c r="DB29" s="33">
        <f t="shared" si="77"/>
        <v>6.8493150684931781E-3</v>
      </c>
      <c r="DC29" s="5">
        <v>4062</v>
      </c>
      <c r="DD29" s="32">
        <f t="shared" si="44"/>
        <v>0.11135430916552669</v>
      </c>
      <c r="DE29" s="5">
        <v>438</v>
      </c>
      <c r="DF29" s="31">
        <f t="shared" si="78"/>
        <v>2.2883295194509046E-3</v>
      </c>
      <c r="DG29" s="5">
        <v>3655</v>
      </c>
      <c r="DH29" s="33">
        <f t="shared" si="45"/>
        <v>9.2022706901703E-2</v>
      </c>
      <c r="DI29" s="8">
        <v>437</v>
      </c>
      <c r="DJ29" s="32">
        <f t="shared" si="79"/>
        <v>1.0138248847926268</v>
      </c>
      <c r="DK29" s="34"/>
      <c r="DL29" s="8">
        <v>3347</v>
      </c>
      <c r="DM29" s="30">
        <f t="shared" si="46"/>
        <v>4.5937499999999964E-2</v>
      </c>
      <c r="DN29" s="8">
        <v>217</v>
      </c>
      <c r="DO29" s="32">
        <f t="shared" si="47"/>
        <v>0.1542553191489362</v>
      </c>
      <c r="DP29" s="8">
        <v>3200</v>
      </c>
      <c r="DQ29" s="31">
        <f t="shared" si="48"/>
        <v>0.12241318835496307</v>
      </c>
      <c r="DR29" s="8">
        <v>188</v>
      </c>
      <c r="DS29" s="32">
        <f t="shared" si="49"/>
        <v>6.2146892655367214E-2</v>
      </c>
      <c r="DT29" s="8">
        <v>2851</v>
      </c>
      <c r="DU29" s="33">
        <f t="shared" si="50"/>
        <v>0.20193929173693093</v>
      </c>
      <c r="DV29" s="5">
        <v>177</v>
      </c>
      <c r="DW29" s="33">
        <f t="shared" si="51"/>
        <v>2.9069767441860517E-2</v>
      </c>
      <c r="DX29" s="5">
        <v>2372</v>
      </c>
      <c r="DY29" s="31">
        <f t="shared" si="52"/>
        <v>9.9675475197033014E-2</v>
      </c>
      <c r="DZ29" s="5">
        <v>172</v>
      </c>
      <c r="EA29" s="30">
        <f t="shared" si="53"/>
        <v>5.8479532163742132E-3</v>
      </c>
      <c r="EB29" s="5">
        <v>2157</v>
      </c>
      <c r="EC29" s="33">
        <f t="shared" si="54"/>
        <v>0.13287815126050417</v>
      </c>
      <c r="ED29" s="5">
        <v>171</v>
      </c>
      <c r="EE29" s="30">
        <f t="shared" si="55"/>
        <v>1.7857142857142794E-2</v>
      </c>
      <c r="EF29" s="5">
        <v>1904</v>
      </c>
      <c r="EG29" s="30">
        <f t="shared" si="56"/>
        <v>0.12000000000000011</v>
      </c>
      <c r="EH29" s="5">
        <v>168</v>
      </c>
      <c r="EI29" s="31">
        <f t="shared" si="57"/>
        <v>7.0063694267515908E-2</v>
      </c>
      <c r="EJ29" s="5">
        <v>1700</v>
      </c>
      <c r="EK29" s="30">
        <f t="shared" si="58"/>
        <v>0.14942528735632177</v>
      </c>
      <c r="EL29" s="5">
        <v>157</v>
      </c>
      <c r="EM29" s="32">
        <f t="shared" si="59"/>
        <v>0.18939393939393945</v>
      </c>
      <c r="EN29" s="5">
        <v>1479</v>
      </c>
      <c r="EO29" s="30">
        <f t="shared" si="60"/>
        <v>0.18986323411102179</v>
      </c>
      <c r="EP29" s="5">
        <v>132</v>
      </c>
      <c r="EQ29" s="36">
        <f t="shared" si="61"/>
        <v>0.18918918918918926</v>
      </c>
      <c r="ER29" s="5">
        <v>1243</v>
      </c>
      <c r="ES29" s="31">
        <f t="shared" si="62"/>
        <v>0.26192893401015227</v>
      </c>
      <c r="ET29" s="5">
        <v>111</v>
      </c>
      <c r="EU29" s="35">
        <f t="shared" si="63"/>
        <v>9.9009900990099098E-2</v>
      </c>
      <c r="EV29" s="5">
        <v>985</v>
      </c>
      <c r="EW29" s="33">
        <f t="shared" si="64"/>
        <v>0.22512437810945274</v>
      </c>
      <c r="EX29" s="5">
        <v>101</v>
      </c>
      <c r="EY29" s="32">
        <f t="shared" si="65"/>
        <v>0.16091954022988508</v>
      </c>
      <c r="EZ29" s="5">
        <v>804</v>
      </c>
      <c r="FA29" s="30">
        <f t="shared" si="66"/>
        <v>0.16017316017316019</v>
      </c>
      <c r="FB29" s="5">
        <v>87</v>
      </c>
      <c r="FC29" s="33">
        <f t="shared" si="80"/>
        <v>7.4074074074074181E-2</v>
      </c>
      <c r="FD29" s="25">
        <v>693</v>
      </c>
      <c r="FE29" s="35">
        <f t="shared" si="67"/>
        <v>0.16470588235294126</v>
      </c>
      <c r="FF29" s="25">
        <v>81</v>
      </c>
      <c r="FG29" s="30">
        <f t="shared" si="81"/>
        <v>5.1948051948051965E-2</v>
      </c>
      <c r="FH29" s="37">
        <v>595</v>
      </c>
      <c r="FI29" s="33">
        <f t="shared" si="82"/>
        <v>0.24737945492662483</v>
      </c>
      <c r="FJ29" s="37">
        <v>77</v>
      </c>
      <c r="FK29" s="30">
        <f t="shared" si="83"/>
        <v>0.13235294117647056</v>
      </c>
      <c r="FL29" s="9">
        <v>477</v>
      </c>
      <c r="FM29" s="31">
        <f t="shared" si="83"/>
        <v>8.6560364464692396E-2</v>
      </c>
      <c r="FN29" s="9">
        <v>68</v>
      </c>
      <c r="FO29" s="30">
        <f t="shared" si="85"/>
        <v>0.1333333333333333</v>
      </c>
      <c r="FP29" s="9">
        <v>439</v>
      </c>
      <c r="FQ29" s="32">
        <f t="shared" si="68"/>
        <v>0.27246376811594208</v>
      </c>
      <c r="FR29" s="9">
        <v>60</v>
      </c>
      <c r="FS29" s="31">
        <f t="shared" si="69"/>
        <v>0.15384615384615374</v>
      </c>
      <c r="FT29" s="9">
        <v>345</v>
      </c>
      <c r="FU29" s="33">
        <f t="shared" si="84"/>
        <v>0.26373626373626369</v>
      </c>
      <c r="FV29" s="9">
        <v>52</v>
      </c>
      <c r="FW29" s="33">
        <f t="shared" si="86"/>
        <v>0.52941176470588225</v>
      </c>
      <c r="FX29" s="9">
        <v>273</v>
      </c>
      <c r="FY29" s="11">
        <v>34</v>
      </c>
    </row>
    <row r="30" spans="2:181" x14ac:dyDescent="0.2">
      <c r="B30" s="40" t="s">
        <v>21</v>
      </c>
      <c r="C30" s="25">
        <v>2016</v>
      </c>
      <c r="D30" s="29">
        <f t="shared" si="0"/>
        <v>2.3350253807106647E-2</v>
      </c>
      <c r="E30" s="25">
        <v>68</v>
      </c>
      <c r="F30" s="26">
        <f t="shared" si="1"/>
        <v>4.6153846153846212E-2</v>
      </c>
      <c r="G30" s="25">
        <v>1970</v>
      </c>
      <c r="H30" s="26">
        <f t="shared" si="2"/>
        <v>1.9141231246766699E-2</v>
      </c>
      <c r="I30" s="25">
        <v>65</v>
      </c>
      <c r="J30" s="29">
        <f t="shared" si="3"/>
        <v>6.5573770491803351E-2</v>
      </c>
      <c r="K30" s="25">
        <v>1933</v>
      </c>
      <c r="L30" s="29">
        <f t="shared" si="4"/>
        <v>2.9834842834310038E-2</v>
      </c>
      <c r="M30" s="25">
        <v>61</v>
      </c>
      <c r="N30" s="26">
        <f t="shared" si="5"/>
        <v>1.6666666666666607E-2</v>
      </c>
      <c r="O30" s="25">
        <v>1877</v>
      </c>
      <c r="P30" s="26">
        <f t="shared" si="6"/>
        <v>1.4594594594594668E-2</v>
      </c>
      <c r="Q30" s="25">
        <v>60</v>
      </c>
      <c r="R30" s="29">
        <f t="shared" si="7"/>
        <v>1.6949152542372836E-2</v>
      </c>
      <c r="S30" s="25">
        <v>1850</v>
      </c>
      <c r="T30" s="29">
        <f t="shared" si="70"/>
        <v>1.7601760176017667E-2</v>
      </c>
      <c r="U30" s="25">
        <v>59</v>
      </c>
      <c r="V30" s="27">
        <f t="shared" si="8"/>
        <v>0</v>
      </c>
      <c r="W30" s="25">
        <v>1818</v>
      </c>
      <c r="X30" s="27">
        <f t="shared" si="71"/>
        <v>1.3377926421404673E-2</v>
      </c>
      <c r="Y30" s="25">
        <v>59</v>
      </c>
      <c r="Z30" s="26">
        <f t="shared" si="9"/>
        <v>0</v>
      </c>
      <c r="AA30" s="25">
        <v>1794</v>
      </c>
      <c r="AB30" s="26">
        <f t="shared" si="72"/>
        <v>2.1058622652248227E-2</v>
      </c>
      <c r="AC30" s="25">
        <v>59</v>
      </c>
      <c r="AD30" s="29">
        <f t="shared" si="10"/>
        <v>3.5087719298245723E-2</v>
      </c>
      <c r="AE30" s="25">
        <v>1757</v>
      </c>
      <c r="AF30" s="28">
        <f t="shared" si="73"/>
        <v>2.2105875509016881E-2</v>
      </c>
      <c r="AG30" s="25">
        <v>57</v>
      </c>
      <c r="AH30" s="27">
        <f t="shared" si="11"/>
        <v>0</v>
      </c>
      <c r="AI30" s="25">
        <v>1719</v>
      </c>
      <c r="AJ30" s="29">
        <f t="shared" si="74"/>
        <v>1.7761989342806483E-2</v>
      </c>
      <c r="AK30" s="25">
        <v>57</v>
      </c>
      <c r="AL30" s="27">
        <f t="shared" si="12"/>
        <v>0</v>
      </c>
      <c r="AM30" s="43">
        <v>1689</v>
      </c>
      <c r="AN30" s="26">
        <f t="shared" si="75"/>
        <v>9.5636580992228826E-3</v>
      </c>
      <c r="AO30" s="5">
        <v>57</v>
      </c>
      <c r="AP30" s="26">
        <f t="shared" si="13"/>
        <v>0</v>
      </c>
      <c r="AQ30" s="5">
        <v>1673</v>
      </c>
      <c r="AR30" s="28">
        <f t="shared" si="14"/>
        <v>1.0876132930513593E-2</v>
      </c>
      <c r="AS30" s="5">
        <v>57</v>
      </c>
      <c r="AT30" s="29">
        <f t="shared" si="15"/>
        <v>1.7857142857142794E-2</v>
      </c>
      <c r="AU30" s="5">
        <v>1655</v>
      </c>
      <c r="AV30" s="29">
        <f t="shared" si="16"/>
        <v>1.0378510378510342E-2</v>
      </c>
      <c r="AW30" s="1">
        <v>56</v>
      </c>
      <c r="AX30" s="27">
        <f t="shared" si="17"/>
        <v>0</v>
      </c>
      <c r="AY30" s="1">
        <v>1638</v>
      </c>
      <c r="AZ30" s="27">
        <f t="shared" si="18"/>
        <v>6.1425061425062211E-3</v>
      </c>
      <c r="BA30" s="1">
        <v>56</v>
      </c>
      <c r="BB30" s="26">
        <f t="shared" si="19"/>
        <v>0</v>
      </c>
      <c r="BC30" s="5">
        <v>1628</v>
      </c>
      <c r="BD30" s="31">
        <f t="shared" si="20"/>
        <v>1.0487353485502782E-2</v>
      </c>
      <c r="BE30" s="5">
        <v>56</v>
      </c>
      <c r="BF30" s="33">
        <f t="shared" si="21"/>
        <v>1.8181818181818077E-2</v>
      </c>
      <c r="BG30" s="5">
        <v>1621</v>
      </c>
      <c r="BH30" s="32">
        <f t="shared" si="22"/>
        <v>6.8322981366459867E-3</v>
      </c>
      <c r="BI30" s="5">
        <v>55</v>
      </c>
      <c r="BJ30" s="31">
        <f t="shared" si="23"/>
        <v>0</v>
      </c>
      <c r="BK30" s="5">
        <v>1610</v>
      </c>
      <c r="BL30" s="33">
        <f t="shared" si="24"/>
        <v>4.993757802746579E-3</v>
      </c>
      <c r="BM30" s="5">
        <v>55</v>
      </c>
      <c r="BN30" s="33">
        <f t="shared" si="25"/>
        <v>1.8518518518518601E-2</v>
      </c>
      <c r="BO30" s="5">
        <v>1602</v>
      </c>
      <c r="BP30" s="31">
        <f t="shared" si="26"/>
        <v>4.3887147335424093E-3</v>
      </c>
      <c r="BQ30" s="5">
        <v>54</v>
      </c>
      <c r="BR30" s="30">
        <f t="shared" si="27"/>
        <v>0</v>
      </c>
      <c r="BS30" s="5">
        <v>1595</v>
      </c>
      <c r="BT30" s="33">
        <f t="shared" si="28"/>
        <v>5.04095778197855E-3</v>
      </c>
      <c r="BU30" s="5">
        <v>54</v>
      </c>
      <c r="BV30" s="30">
        <f t="shared" si="29"/>
        <v>0</v>
      </c>
      <c r="BW30" s="5">
        <v>1587</v>
      </c>
      <c r="BX30" s="31">
        <f t="shared" si="30"/>
        <v>4.4303797468354666E-3</v>
      </c>
      <c r="BY30" s="5">
        <v>54</v>
      </c>
      <c r="BZ30" s="30">
        <f t="shared" si="31"/>
        <v>0</v>
      </c>
      <c r="CA30" s="5">
        <v>1580</v>
      </c>
      <c r="CB30" s="33">
        <f t="shared" si="32"/>
        <v>1.2820512820512775E-2</v>
      </c>
      <c r="CC30" s="5">
        <v>54</v>
      </c>
      <c r="CD30" s="31">
        <f t="shared" si="33"/>
        <v>0</v>
      </c>
      <c r="CE30" s="5">
        <v>1560</v>
      </c>
      <c r="CF30" s="30">
        <f t="shared" si="34"/>
        <v>3.8610038610038533E-3</v>
      </c>
      <c r="CG30" s="5">
        <v>54</v>
      </c>
      <c r="CH30" s="33">
        <f t="shared" si="35"/>
        <v>3.8461538461538547E-2</v>
      </c>
      <c r="CI30" s="5">
        <v>1554</v>
      </c>
      <c r="CJ30" s="30">
        <f t="shared" si="36"/>
        <v>7.1289695398573105E-3</v>
      </c>
      <c r="CK30" s="5">
        <v>52</v>
      </c>
      <c r="CL30" s="30">
        <f t="shared" si="37"/>
        <v>0</v>
      </c>
      <c r="CM30" s="5">
        <v>1543</v>
      </c>
      <c r="CN30" s="35">
        <f t="shared" si="38"/>
        <v>2.0502645502645578E-2</v>
      </c>
      <c r="CO30" s="5">
        <v>52</v>
      </c>
      <c r="CP30" s="31">
        <f t="shared" si="39"/>
        <v>1.9607843137254832E-2</v>
      </c>
      <c r="CQ30" s="5">
        <v>1512</v>
      </c>
      <c r="CR30" s="33">
        <f t="shared" si="40"/>
        <v>2.6476578411405383E-2</v>
      </c>
      <c r="CS30" s="5">
        <v>51</v>
      </c>
      <c r="CT30" s="33">
        <f t="shared" si="41"/>
        <v>8.5106382978723305E-2</v>
      </c>
      <c r="CU30" s="5">
        <v>1473</v>
      </c>
      <c r="CV30" s="30">
        <f t="shared" si="42"/>
        <v>1.937716262975786E-2</v>
      </c>
      <c r="CW30" s="5">
        <v>47</v>
      </c>
      <c r="CX30" s="31">
        <f t="shared" si="76"/>
        <v>0</v>
      </c>
      <c r="CY30" s="5">
        <v>1445</v>
      </c>
      <c r="CZ30" s="31">
        <f t="shared" si="43"/>
        <v>2.4096385542168752E-2</v>
      </c>
      <c r="DA30" s="5">
        <v>47</v>
      </c>
      <c r="DB30" s="33">
        <f t="shared" si="77"/>
        <v>6.8181818181818121E-2</v>
      </c>
      <c r="DC30" s="5">
        <v>1411</v>
      </c>
      <c r="DD30" s="31">
        <f t="shared" si="44"/>
        <v>4.3639053254437954E-2</v>
      </c>
      <c r="DE30" s="5">
        <v>44</v>
      </c>
      <c r="DF30" s="31">
        <f t="shared" si="78"/>
        <v>2.3255813953488413E-2</v>
      </c>
      <c r="DG30" s="5">
        <v>1352</v>
      </c>
      <c r="DH30" s="33">
        <f t="shared" si="45"/>
        <v>9.740259740259738E-2</v>
      </c>
      <c r="DI30" s="8">
        <v>43</v>
      </c>
      <c r="DJ30" s="30">
        <f t="shared" si="79"/>
        <v>2.3809523809523725E-2</v>
      </c>
      <c r="DK30" s="34"/>
      <c r="DL30" s="8">
        <v>1232</v>
      </c>
      <c r="DM30" s="31">
        <f t="shared" si="46"/>
        <v>5.6603773584905648E-2</v>
      </c>
      <c r="DN30" s="8">
        <v>42</v>
      </c>
      <c r="DO30" s="31">
        <f t="shared" si="47"/>
        <v>5.0000000000000044E-2</v>
      </c>
      <c r="DP30" s="5">
        <v>1166</v>
      </c>
      <c r="DQ30" s="33">
        <f t="shared" si="48"/>
        <v>7.564575645756455E-2</v>
      </c>
      <c r="DR30" s="5">
        <v>40</v>
      </c>
      <c r="DS30" s="33">
        <f t="shared" si="49"/>
        <v>5.2631578947368363E-2</v>
      </c>
      <c r="DT30" s="5">
        <v>1084</v>
      </c>
      <c r="DU30" s="30">
        <f t="shared" si="50"/>
        <v>3.5339063992359199E-2</v>
      </c>
      <c r="DV30" s="5">
        <v>38</v>
      </c>
      <c r="DW30" s="31">
        <f t="shared" si="51"/>
        <v>0</v>
      </c>
      <c r="DX30" s="5">
        <v>1047</v>
      </c>
      <c r="DY30" s="30">
        <f t="shared" si="52"/>
        <v>5.7575757575757613E-2</v>
      </c>
      <c r="DZ30" s="5">
        <v>38</v>
      </c>
      <c r="EA30" s="33">
        <f t="shared" si="53"/>
        <v>0.11764705882352944</v>
      </c>
      <c r="EB30" s="5">
        <v>990</v>
      </c>
      <c r="EC30" s="31">
        <f t="shared" si="54"/>
        <v>0.1061452513966481</v>
      </c>
      <c r="ED30" s="5">
        <v>34</v>
      </c>
      <c r="EE30" s="31">
        <f t="shared" si="55"/>
        <v>0</v>
      </c>
      <c r="EF30" s="5">
        <v>895</v>
      </c>
      <c r="EG30" s="33">
        <f t="shared" si="56"/>
        <v>0.13005050505050497</v>
      </c>
      <c r="EH30" s="5">
        <v>34</v>
      </c>
      <c r="EI30" s="33">
        <f t="shared" si="57"/>
        <v>0.21428571428571419</v>
      </c>
      <c r="EJ30" s="5">
        <v>792</v>
      </c>
      <c r="EK30" s="30">
        <f t="shared" si="58"/>
        <v>0.10000000000000009</v>
      </c>
      <c r="EL30" s="5">
        <v>28</v>
      </c>
      <c r="EM30" s="30">
        <f t="shared" si="59"/>
        <v>3.7037037037036979E-2</v>
      </c>
      <c r="EN30" s="5">
        <v>720</v>
      </c>
      <c r="EO30" s="30">
        <f t="shared" si="60"/>
        <v>0.1707317073170731</v>
      </c>
      <c r="EP30" s="5">
        <v>27</v>
      </c>
      <c r="EQ30" s="35">
        <f t="shared" si="61"/>
        <v>0.28571428571428581</v>
      </c>
      <c r="ER30" s="5">
        <v>615</v>
      </c>
      <c r="ES30" s="31">
        <f t="shared" si="62"/>
        <v>0.17590822179732313</v>
      </c>
      <c r="ET30" s="5">
        <v>21</v>
      </c>
      <c r="EU30" s="36">
        <f t="shared" si="63"/>
        <v>0.3125</v>
      </c>
      <c r="EV30" s="5">
        <v>523</v>
      </c>
      <c r="EW30" s="33">
        <f t="shared" si="64"/>
        <v>0.24821002386634849</v>
      </c>
      <c r="EX30" s="5">
        <v>16</v>
      </c>
      <c r="EY30" s="30">
        <f t="shared" si="65"/>
        <v>0.23076923076923084</v>
      </c>
      <c r="EZ30" s="5">
        <v>419</v>
      </c>
      <c r="FA30" s="30">
        <f t="shared" si="66"/>
        <v>0.17039106145251393</v>
      </c>
      <c r="FB30" s="5">
        <v>13</v>
      </c>
      <c r="FC30" s="31">
        <f t="shared" si="80"/>
        <v>0.44444444444444442</v>
      </c>
      <c r="FD30" s="8">
        <v>358</v>
      </c>
      <c r="FE30" s="35">
        <f t="shared" si="67"/>
        <v>0.29241877256317683</v>
      </c>
      <c r="FF30" s="8">
        <v>9</v>
      </c>
      <c r="FG30" s="33">
        <f t="shared" si="81"/>
        <v>0.8</v>
      </c>
      <c r="FH30" s="37">
        <v>277</v>
      </c>
      <c r="FI30" s="33">
        <f t="shared" si="82"/>
        <v>0.489247311827957</v>
      </c>
      <c r="FJ30" s="37">
        <v>5</v>
      </c>
      <c r="FK30" s="30">
        <f t="shared" si="83"/>
        <v>0</v>
      </c>
      <c r="FL30" s="9">
        <v>186</v>
      </c>
      <c r="FM30" s="30">
        <f t="shared" si="83"/>
        <v>0.24832214765100669</v>
      </c>
      <c r="FN30" s="9">
        <v>5</v>
      </c>
      <c r="FO30" s="35">
        <f t="shared" si="85"/>
        <v>0.25</v>
      </c>
      <c r="FP30" s="9">
        <v>149</v>
      </c>
      <c r="FQ30" s="35">
        <f t="shared" si="68"/>
        <v>0.47524752475247523</v>
      </c>
      <c r="FR30" s="9">
        <v>4</v>
      </c>
      <c r="FS30" s="33">
        <f t="shared" si="69"/>
        <v>1</v>
      </c>
      <c r="FT30" s="9">
        <v>101</v>
      </c>
      <c r="FU30" s="33">
        <f t="shared" si="84"/>
        <v>0.48529411764705888</v>
      </c>
      <c r="FV30" s="9">
        <v>2</v>
      </c>
      <c r="FW30" s="35">
        <f t="shared" si="86"/>
        <v>0</v>
      </c>
      <c r="FX30" s="9">
        <v>68</v>
      </c>
      <c r="FY30" s="11">
        <v>2</v>
      </c>
    </row>
    <row r="31" spans="2:181" s="23" customFormat="1" x14ac:dyDescent="0.2">
      <c r="B31" s="18" t="s">
        <v>24</v>
      </c>
      <c r="C31" s="19">
        <f>SUM(C7:C30)</f>
        <v>302221</v>
      </c>
      <c r="D31" s="26">
        <f>SUM(C31/G31)-100%</f>
        <v>2.6206863767092248E-2</v>
      </c>
      <c r="E31" s="19">
        <f>SUM(E7:E30)</f>
        <v>16236</v>
      </c>
      <c r="F31" s="26">
        <f t="shared" si="1"/>
        <v>1.2282561256936164E-2</v>
      </c>
      <c r="G31" s="19">
        <f>SUM(G7:G30)</f>
        <v>294503</v>
      </c>
      <c r="H31" s="26">
        <f>SUM(G31/K31)-100%</f>
        <v>2.9173000646502745E-2</v>
      </c>
      <c r="I31" s="19">
        <f>SUM(I7:I30)</f>
        <v>16039</v>
      </c>
      <c r="J31" s="26">
        <f t="shared" si="3"/>
        <v>1.442034026943273E-2</v>
      </c>
      <c r="K31" s="19">
        <f>SUM(K7:K30)</f>
        <v>286155</v>
      </c>
      <c r="L31" s="26">
        <f>SUM(K31/O31)-100%</f>
        <v>4.1802434167173219E-2</v>
      </c>
      <c r="M31" s="19">
        <f>SUM(M7:M30)</f>
        <v>15811</v>
      </c>
      <c r="N31" s="29">
        <f t="shared" si="5"/>
        <v>1.7700823892893958E-2</v>
      </c>
      <c r="O31" s="19">
        <f>SUM(O7:O30)</f>
        <v>274673</v>
      </c>
      <c r="P31" s="26">
        <f>SUM(O31/S31)-100%</f>
        <v>2.7879336733739324E-2</v>
      </c>
      <c r="Q31" s="19">
        <f>SUM(Q7:Q30)</f>
        <v>15536</v>
      </c>
      <c r="R31" s="26">
        <f t="shared" si="7"/>
        <v>1.4033026564845619E-2</v>
      </c>
      <c r="S31" s="19">
        <f>SUM(S7:S30)</f>
        <v>267223</v>
      </c>
      <c r="T31" s="29">
        <f>SUM(S31/W31)-100%</f>
        <v>3.4617201353559279E-2</v>
      </c>
      <c r="U31" s="19">
        <f>SUM(U7:U30)</f>
        <v>15321</v>
      </c>
      <c r="V31" s="29">
        <f t="shared" si="8"/>
        <v>2.0583533173461177E-2</v>
      </c>
      <c r="W31" s="19">
        <f>SUM(W7:W30)</f>
        <v>258282</v>
      </c>
      <c r="X31" s="27">
        <f>SUM(W31/AA31)-100%</f>
        <v>2.9717575390307394E-2</v>
      </c>
      <c r="Y31" s="19">
        <f>SUM(Y7:Y30)</f>
        <v>15012</v>
      </c>
      <c r="Z31" s="27">
        <f t="shared" si="9"/>
        <v>1.0296789824348895E-2</v>
      </c>
      <c r="AA31" s="19">
        <f>SUM(AA7:AA30)</f>
        <v>250828</v>
      </c>
      <c r="AB31" s="27">
        <f>SUM(AA31/AE31)-100%</f>
        <v>3.9520580872967281E-2</v>
      </c>
      <c r="AC31" s="19">
        <f>SUM(AC7:AC30)</f>
        <v>14859</v>
      </c>
      <c r="AD31" s="26">
        <f t="shared" si="10"/>
        <v>1.6138959173904066E-2</v>
      </c>
      <c r="AE31" s="19">
        <f>SUM(AE7:AE30)</f>
        <v>241292</v>
      </c>
      <c r="AF31" s="26">
        <f>SUM(AE31/AI31)-100%</f>
        <v>4.2379105070804668E-2</v>
      </c>
      <c r="AG31" s="19">
        <f>SUM(AG7:AG30)</f>
        <v>14623</v>
      </c>
      <c r="AH31" s="28">
        <f t="shared" si="11"/>
        <v>2.1230532858439899E-2</v>
      </c>
      <c r="AI31" s="19">
        <f>SUM(AI7:AI30)</f>
        <v>231482</v>
      </c>
      <c r="AJ31" s="28">
        <f>SUM(AI31/AM31)-100%</f>
        <v>4.7098204188718462E-2</v>
      </c>
      <c r="AK31" s="19">
        <f>SUM(AK7:AK30)</f>
        <v>14319</v>
      </c>
      <c r="AL31" s="28">
        <f t="shared" si="12"/>
        <v>1.0016223460534768E-2</v>
      </c>
      <c r="AM31" s="45">
        <f>SUM(AM7:AM30)</f>
        <v>221070</v>
      </c>
      <c r="AN31" s="28">
        <f>SUM(AM31/AQ31)-100%</f>
        <v>3.0081914506975282E-2</v>
      </c>
      <c r="AO31" s="45">
        <f>SUM(AO7:AO30)</f>
        <v>14177</v>
      </c>
      <c r="AP31" s="28">
        <f t="shared" si="13"/>
        <v>8.967333285887058E-3</v>
      </c>
      <c r="AQ31" s="45">
        <f>SUM(AQ7:AQ30)</f>
        <v>214614</v>
      </c>
      <c r="AR31" s="29">
        <f t="shared" si="14"/>
        <v>2.5120011463781511E-2</v>
      </c>
      <c r="AS31" s="45">
        <f>SUM(AS7:AS30)</f>
        <v>14051</v>
      </c>
      <c r="AT31" s="29">
        <f t="shared" si="15"/>
        <v>4.2166952544311354E-3</v>
      </c>
      <c r="AU31" s="45">
        <f>SUM(AU7:AU30)</f>
        <v>209355</v>
      </c>
      <c r="AV31" s="27">
        <f t="shared" si="16"/>
        <v>1.5020096287641227E-2</v>
      </c>
      <c r="AW31" s="45">
        <f>SUM(AW7:AW30)</f>
        <v>13992</v>
      </c>
      <c r="AX31" s="27">
        <f t="shared" si="17"/>
        <v>3.154574132492094E-3</v>
      </c>
      <c r="AY31" s="45">
        <f>SUM(AY7:AY30)</f>
        <v>206257</v>
      </c>
      <c r="AZ31" s="27">
        <f t="shared" si="18"/>
        <v>2.0518529513631201E-2</v>
      </c>
      <c r="BA31" s="45">
        <f>SUM(BA7:BA30)</f>
        <v>13948</v>
      </c>
      <c r="BB31" s="27">
        <f t="shared" si="19"/>
        <v>5.2612612612612519E-3</v>
      </c>
      <c r="BC31" s="19">
        <f>SUM(BC7:BC30)</f>
        <v>202110</v>
      </c>
      <c r="BD31" s="30">
        <f t="shared" si="20"/>
        <v>4.1712542550934817E-2</v>
      </c>
      <c r="BE31" s="19">
        <f>SUM(BE7:BE30)</f>
        <v>13875</v>
      </c>
      <c r="BF31" s="31">
        <f t="shared" si="21"/>
        <v>7.0402090288865793E-3</v>
      </c>
      <c r="BG31" s="19">
        <f>SUM(BG7:BG30)</f>
        <v>197998</v>
      </c>
      <c r="BH31" s="31">
        <f t="shared" si="22"/>
        <v>3.0611554417360187E-2</v>
      </c>
      <c r="BI31" s="19">
        <f>SUM(BI7:BI30)</f>
        <v>13778</v>
      </c>
      <c r="BJ31" s="32">
        <f t="shared" si="23"/>
        <v>2.6447142963569981E-2</v>
      </c>
      <c r="BK31" s="19">
        <v>192117</v>
      </c>
      <c r="BL31" s="33">
        <f t="shared" si="24"/>
        <v>3.4873386015093377E-2</v>
      </c>
      <c r="BM31" s="19">
        <f>SUM(BM7:BM30)</f>
        <v>13423</v>
      </c>
      <c r="BN31" s="32">
        <f t="shared" si="25"/>
        <v>1.6816907810014436E-2</v>
      </c>
      <c r="BO31" s="19">
        <f>SUM(BO7:BO30)</f>
        <v>185643</v>
      </c>
      <c r="BP31" s="30">
        <f t="shared" si="26"/>
        <v>2.9662497573421431E-2</v>
      </c>
      <c r="BQ31" s="19">
        <f>SUM(BQ7:BQ30)</f>
        <v>13201</v>
      </c>
      <c r="BR31" s="42">
        <f t="shared" si="27"/>
        <v>1.4837023370233737E-2</v>
      </c>
      <c r="BS31" s="19">
        <f>SUM(BS7:BS30)</f>
        <v>180295</v>
      </c>
      <c r="BT31" s="30">
        <f t="shared" si="28"/>
        <v>3.080494205492057E-2</v>
      </c>
      <c r="BU31" s="19">
        <f>SUM(BU7:BU30)</f>
        <v>13008</v>
      </c>
      <c r="BV31" s="42">
        <f t="shared" si="29"/>
        <v>1.3873733437256508E-2</v>
      </c>
      <c r="BW31" s="19">
        <f>SUM(BW7:BW30)</f>
        <v>174907</v>
      </c>
      <c r="BX31" s="30">
        <f t="shared" si="30"/>
        <v>3.3765972788633247E-2</v>
      </c>
      <c r="BY31" s="19">
        <f>SUM(BY7:BY30)</f>
        <v>12830</v>
      </c>
      <c r="BZ31" s="33">
        <f t="shared" si="31"/>
        <v>1.1510564490696984E-2</v>
      </c>
      <c r="CA31" s="19">
        <f>SUM(CA7:CA30)</f>
        <v>169194</v>
      </c>
      <c r="CB31" s="31">
        <f t="shared" si="32"/>
        <v>4.6765861354285843E-2</v>
      </c>
      <c r="CC31" s="19">
        <f>SUM(CC7:CC30)</f>
        <v>12684</v>
      </c>
      <c r="CD31" s="30">
        <f t="shared" si="33"/>
        <v>1.0435752409782451E-2</v>
      </c>
      <c r="CE31" s="19">
        <f>SUM(CE7:CE30)</f>
        <v>161635</v>
      </c>
      <c r="CF31" s="33">
        <f t="shared" si="34"/>
        <v>5.4446176829387571E-2</v>
      </c>
      <c r="CG31" s="19">
        <f>SUM(CG7:CG30)</f>
        <v>12553</v>
      </c>
      <c r="CH31" s="30">
        <f t="shared" si="35"/>
        <v>1.3401146363122729E-2</v>
      </c>
      <c r="CI31" s="19">
        <f>SUM(CI7:CI30)</f>
        <v>153289</v>
      </c>
      <c r="CJ31" s="30">
        <f t="shared" si="36"/>
        <v>4.2548271476471333E-2</v>
      </c>
      <c r="CK31" s="19">
        <f>SUM(CK7:CK30)</f>
        <v>12387</v>
      </c>
      <c r="CL31" s="31">
        <f t="shared" si="37"/>
        <v>1.6077434172750316E-2</v>
      </c>
      <c r="CM31" s="19">
        <f>SUM(CM7:CM30)</f>
        <v>147033</v>
      </c>
      <c r="CN31" s="30">
        <f t="shared" si="38"/>
        <v>4.2535842420976522E-2</v>
      </c>
      <c r="CO31" s="19">
        <f>SUM(CO7:CO30)</f>
        <v>12191</v>
      </c>
      <c r="CP31" s="32">
        <f t="shared" si="39"/>
        <v>4.6707306602558507E-2</v>
      </c>
      <c r="CQ31" s="19">
        <f>SUM(CQ7:CQ30)</f>
        <v>141034</v>
      </c>
      <c r="CR31" s="30">
        <f t="shared" si="40"/>
        <v>4.665781056350049E-2</v>
      </c>
      <c r="CS31" s="19">
        <f>SUM(CS7:CS30)</f>
        <v>11647</v>
      </c>
      <c r="CT31" s="33">
        <f t="shared" si="41"/>
        <v>3.2627005940242926E-2</v>
      </c>
      <c r="CU31" s="19">
        <f>SUM(CU7:CU30)</f>
        <v>134747</v>
      </c>
      <c r="CV31" s="30">
        <f t="shared" si="42"/>
        <v>6.5876173676425287E-2</v>
      </c>
      <c r="CW31" s="19">
        <f>SUM(CW7:CW30)</f>
        <v>11279</v>
      </c>
      <c r="CX31" s="30">
        <f t="shared" si="76"/>
        <v>1.7042380522993783E-2</v>
      </c>
      <c r="CY31" s="19">
        <f>SUM(CY7:CY30)</f>
        <v>126419</v>
      </c>
      <c r="CZ31" s="31">
        <f t="shared" si="43"/>
        <v>6.5981415585948611E-2</v>
      </c>
      <c r="DA31" s="19">
        <f>SUM(DA7:DA30)</f>
        <v>11090</v>
      </c>
      <c r="DB31" s="30">
        <f t="shared" ref="DB31" si="87">SUM(DA31/DE31)-100%</f>
        <v>1.7151242777217357E-2</v>
      </c>
      <c r="DC31" s="19">
        <f>SUM(DC7:DC30)</f>
        <v>118594</v>
      </c>
      <c r="DD31" s="33">
        <f t="shared" si="44"/>
        <v>8.024848793995476E-2</v>
      </c>
      <c r="DE31" s="19">
        <f>SUM(DE7:DE30)</f>
        <v>10903</v>
      </c>
      <c r="DF31" s="31">
        <f t="shared" si="78"/>
        <v>3.6012922843025486E-2</v>
      </c>
      <c r="DG31" s="19">
        <f>SUM(DG7:DG30)</f>
        <v>109784</v>
      </c>
      <c r="DH31" s="30">
        <f t="shared" si="45"/>
        <v>4.8637909295839332E-2</v>
      </c>
      <c r="DI31" s="19">
        <f>SUM(DI7:DI30)</f>
        <v>10524</v>
      </c>
      <c r="DJ31" s="33">
        <f t="shared" si="79"/>
        <v>0.60549199084668182</v>
      </c>
      <c r="DK31" s="46"/>
      <c r="DL31" s="19">
        <f>SUM(DL7:DL30)</f>
        <v>104692</v>
      </c>
      <c r="DM31" s="30">
        <f t="shared" si="46"/>
        <v>5.9496220132978506E-2</v>
      </c>
      <c r="DN31" s="19">
        <f>SUM(DN7:DN30)</f>
        <v>6555</v>
      </c>
      <c r="DO31" s="31">
        <f>SUM(DN31/DR31)-100%</f>
        <v>3.882725832012679E-2</v>
      </c>
      <c r="DP31" s="19">
        <f>SUM(DP7:DP30)</f>
        <v>98813</v>
      </c>
      <c r="DQ31" s="30">
        <f t="shared" si="48"/>
        <v>6.7256388654872268E-2</v>
      </c>
      <c r="DR31" s="19">
        <f>SUM(DR7:DR30)</f>
        <v>6310</v>
      </c>
      <c r="DS31" s="33">
        <f>SUM(DR31/DV31)-100%</f>
        <v>3.9538714991762758E-2</v>
      </c>
      <c r="DT31" s="19">
        <f>SUM(DT7:DT30)</f>
        <v>92586</v>
      </c>
      <c r="DU31" s="31">
        <f t="shared" si="50"/>
        <v>8.2839198624609756E-2</v>
      </c>
      <c r="DV31" s="19">
        <f>SUM(DV7:DV30)</f>
        <v>6070</v>
      </c>
      <c r="DW31" s="30">
        <f>SUM(DV31/DZ31)-100%</f>
        <v>2.4991556906450496E-2</v>
      </c>
      <c r="DX31" s="19">
        <f>SUM(DX7:DX30)</f>
        <v>85503</v>
      </c>
      <c r="DY31" s="33">
        <f t="shared" si="52"/>
        <v>0.10229733910891081</v>
      </c>
      <c r="DZ31" s="19">
        <f>SUM(DZ7:DZ30)</f>
        <v>5922</v>
      </c>
      <c r="EA31" s="31">
        <f>SUM(DZ31/ED31)-100%</f>
        <v>2.9913043478260848E-2</v>
      </c>
      <c r="EB31" s="19">
        <f>SUM(EB7:EB30)</f>
        <v>77568</v>
      </c>
      <c r="EC31" s="30">
        <f t="shared" si="54"/>
        <v>8.1267947252502193E-2</v>
      </c>
      <c r="ED31" s="19">
        <f>SUM(ED7:ED30)</f>
        <v>5750</v>
      </c>
      <c r="EE31" s="33">
        <f>SUM(ED31/EH31)-100%</f>
        <v>4.261106074342691E-2</v>
      </c>
      <c r="EF31" s="19">
        <f>SUM(EF7:EF30)</f>
        <v>71738</v>
      </c>
      <c r="EG31" s="30">
        <f t="shared" si="56"/>
        <v>0.10269456015494116</v>
      </c>
      <c r="EH31" s="19">
        <f>SUM(EH7:EH30)</f>
        <v>5515</v>
      </c>
      <c r="EI31" s="30">
        <f>SUM(EH31/EL31)-100%</f>
        <v>3.8019951063429369E-2</v>
      </c>
      <c r="EJ31" s="19">
        <f>SUM(EJ7:EJ30)</f>
        <v>65057</v>
      </c>
      <c r="EK31" s="30">
        <f t="shared" si="58"/>
        <v>0.10427063176834039</v>
      </c>
      <c r="EL31" s="19">
        <f>SUM(EL7:EL30)</f>
        <v>5313</v>
      </c>
      <c r="EM31" s="30">
        <f>SUM(EL31/EP31)-100%</f>
        <v>5.2704576976421613E-2</v>
      </c>
      <c r="EN31" s="19">
        <f>SUM(EN7:EN30)</f>
        <v>58914</v>
      </c>
      <c r="EO31" s="35">
        <f t="shared" si="60"/>
        <v>0.11154296064299452</v>
      </c>
      <c r="EP31" s="19">
        <f>SUM(EP7:EP30)</f>
        <v>5047</v>
      </c>
      <c r="EQ31" s="31">
        <f>SUM(EP31/ET31)-100%</f>
        <v>5.5636896046852069E-2</v>
      </c>
      <c r="ER31" s="19">
        <f>SUM(ER7:ER30)</f>
        <v>53002</v>
      </c>
      <c r="ES31" s="36">
        <f t="shared" si="62"/>
        <v>0.14477634506144832</v>
      </c>
      <c r="ET31" s="19">
        <f>SUM(ET7:ET30)</f>
        <v>4781</v>
      </c>
      <c r="EU31" s="33">
        <f>SUM(ET31/EX31)-100%</f>
        <v>7.9476179724542684E-2</v>
      </c>
      <c r="EV31" s="19">
        <f>SUM(EV7:EV30)</f>
        <v>46299</v>
      </c>
      <c r="EW31" s="36">
        <f t="shared" si="64"/>
        <v>0.12302617216872447</v>
      </c>
      <c r="EX31" s="19">
        <f>SUM(EX7:EX30)</f>
        <v>4429</v>
      </c>
      <c r="EY31" s="30">
        <f>SUM(EX31/FB31)-100%</f>
        <v>5.4774946415813375E-2</v>
      </c>
      <c r="EZ31" s="19">
        <f>SUM(EZ7:EZ30)</f>
        <v>41227</v>
      </c>
      <c r="FA31" s="30">
        <f t="shared" si="66"/>
        <v>9.0805662124619602E-2</v>
      </c>
      <c r="FB31" s="19">
        <f>SUM(FB7:FB30)</f>
        <v>4199</v>
      </c>
      <c r="FC31" s="31">
        <f>SUM(FB31/FF31)-100%</f>
        <v>7.7772073921971163E-2</v>
      </c>
      <c r="FD31" s="19">
        <f>SUM(FD7:FD30)</f>
        <v>37795</v>
      </c>
      <c r="FE31" s="31">
        <f t="shared" si="67"/>
        <v>0.11912234987563664</v>
      </c>
      <c r="FF31" s="19">
        <f>SUM(FF7:FF30)</f>
        <v>3896</v>
      </c>
      <c r="FG31" s="33">
        <f>SUM(FF31/FJ31)-100%</f>
        <v>7.9822616407982272E-2</v>
      </c>
      <c r="FH31" s="47">
        <f>SUM(FH7:FH30)</f>
        <v>33772</v>
      </c>
      <c r="FI31" s="33">
        <f t="shared" ref="FI31:FI36" si="88">SUM(FH31/FL31)-100%</f>
        <v>0.12042996483312329</v>
      </c>
      <c r="FJ31" s="47">
        <f>SUM(FJ7:FJ30)</f>
        <v>3608</v>
      </c>
      <c r="FK31" s="30">
        <f t="shared" si="83"/>
        <v>7.4449076831447192E-2</v>
      </c>
      <c r="FL31" s="19">
        <f>SUM(FL7:FL30)</f>
        <v>30142</v>
      </c>
      <c r="FM31" s="30">
        <f t="shared" si="83"/>
        <v>8.4244604316546789E-2</v>
      </c>
      <c r="FN31" s="19">
        <f>SUM(FN7:FN30)</f>
        <v>3358</v>
      </c>
      <c r="FO31" s="30">
        <f t="shared" si="85"/>
        <v>8.0437580437580536E-2</v>
      </c>
      <c r="FP31" s="19">
        <f>SUM(FP7:FP30)</f>
        <v>27800</v>
      </c>
      <c r="FQ31" s="30">
        <f t="shared" si="68"/>
        <v>0.14662817075685708</v>
      </c>
      <c r="FR31" s="19">
        <f>SUM(FR7:FR30)</f>
        <v>3108</v>
      </c>
      <c r="FS31" s="30">
        <f t="shared" si="69"/>
        <v>0.13596491228070184</v>
      </c>
      <c r="FT31" s="19">
        <f>SUM(FT7:FT30)</f>
        <v>24245</v>
      </c>
      <c r="FU31" s="33">
        <f t="shared" si="84"/>
        <v>0.17568616041121143</v>
      </c>
      <c r="FV31" s="19">
        <f>SUM(FV7:FV30)</f>
        <v>2736</v>
      </c>
      <c r="FW31" s="33">
        <f>SUM(FV31/FY31)-100%</f>
        <v>0.28631875881523272</v>
      </c>
      <c r="FX31" s="19">
        <f>SUM(FX7:FX30)</f>
        <v>20622</v>
      </c>
      <c r="FY31" s="22">
        <f>SUM(FY7:FY30)</f>
        <v>2127</v>
      </c>
    </row>
    <row r="32" spans="2:181" s="5" customFormat="1" x14ac:dyDescent="0.2">
      <c r="B32" s="48" t="s">
        <v>26</v>
      </c>
      <c r="C32" s="8">
        <v>1068530</v>
      </c>
      <c r="D32" s="49">
        <f>SUM(C32/G32)-100%</f>
        <v>2.7700487338527591E-2</v>
      </c>
      <c r="E32" s="8"/>
      <c r="F32" s="8"/>
      <c r="G32" s="8">
        <v>1039729</v>
      </c>
      <c r="H32" s="49">
        <f>SUM(G32/K32)-100%</f>
        <v>2.9780292593256652E-2</v>
      </c>
      <c r="I32" s="8"/>
      <c r="J32" s="8"/>
      <c r="K32" s="25">
        <v>1009661</v>
      </c>
      <c r="L32" s="50">
        <f>SUM(K32/O32)-100%</f>
        <v>3.8079463389758095E-2</v>
      </c>
      <c r="M32" s="25"/>
      <c r="N32" s="25"/>
      <c r="O32" s="8">
        <v>972624</v>
      </c>
      <c r="P32" s="49">
        <f>SUM(O32/S32)-100%</f>
        <v>2.8700522904574255E-2</v>
      </c>
      <c r="Q32" s="8"/>
      <c r="R32" s="8"/>
      <c r="S32" s="8">
        <v>945488</v>
      </c>
      <c r="T32" s="50">
        <f>SUM(S32/W32)-100%</f>
        <v>4.0066441893593874E-2</v>
      </c>
      <c r="U32" s="8"/>
      <c r="V32" s="8"/>
      <c r="W32" s="25">
        <v>909065</v>
      </c>
      <c r="X32" s="49">
        <f>SUM(W32/AA32)-100%</f>
        <v>2.7106208068477855E-2</v>
      </c>
      <c r="Y32" s="8"/>
      <c r="Z32" s="8"/>
      <c r="AA32" s="25">
        <v>885074</v>
      </c>
      <c r="AB32" s="50">
        <f>SUM(AA32/AE32)-100%</f>
        <v>4.6153373355696692E-2</v>
      </c>
      <c r="AC32" s="8"/>
      <c r="AD32" s="8"/>
      <c r="AE32" s="25">
        <v>846027</v>
      </c>
      <c r="AF32" s="49">
        <f>SUM(AE32/AI32)-100%</f>
        <v>4.1944951100349792E-2</v>
      </c>
      <c r="AG32" s="8"/>
      <c r="AH32" s="8"/>
      <c r="AI32" s="25">
        <v>811969</v>
      </c>
      <c r="AJ32" s="50">
        <f>SUM(AI32/AM32)-100%</f>
        <v>4.6721393894235907E-2</v>
      </c>
      <c r="AK32" s="8"/>
      <c r="AL32" s="8"/>
      <c r="AM32" s="5">
        <v>775726</v>
      </c>
      <c r="AN32" s="49">
        <f>SUM(AM32/AQ32)-100%</f>
        <v>2.6188967482395853E-2</v>
      </c>
      <c r="AQ32" s="5">
        <v>755929</v>
      </c>
      <c r="AR32" s="49">
        <f t="shared" si="14"/>
        <v>2.6778898526786943E-2</v>
      </c>
      <c r="AU32" s="5">
        <v>736214</v>
      </c>
      <c r="AV32" s="50">
        <f t="shared" si="16"/>
        <v>3.2582824555424272E-2</v>
      </c>
      <c r="AY32" s="5">
        <v>712983</v>
      </c>
      <c r="AZ32" s="50">
        <f t="shared" si="18"/>
        <v>3.2457292464619814E-2</v>
      </c>
      <c r="BC32" s="5">
        <v>690569</v>
      </c>
      <c r="BD32" s="49">
        <f t="shared" ref="BD32:BD34" si="89">SUM(BC32/BG32)-100%</f>
        <v>2.723652639830787E-2</v>
      </c>
      <c r="BG32" s="5">
        <v>672259</v>
      </c>
      <c r="BH32" s="49">
        <f t="shared" si="22"/>
        <v>3.4959533585507518E-2</v>
      </c>
      <c r="BK32" s="5">
        <v>649551</v>
      </c>
      <c r="BL32" s="50">
        <f t="shared" si="24"/>
        <v>4.6026378085897823E-2</v>
      </c>
      <c r="BO32" s="5">
        <v>620970</v>
      </c>
      <c r="BP32" s="50">
        <f t="shared" si="26"/>
        <v>4.1541220020697711E-2</v>
      </c>
      <c r="BS32" s="5">
        <v>596203</v>
      </c>
      <c r="BT32" s="49">
        <f t="shared" si="28"/>
        <v>4.1224384297535055E-2</v>
      </c>
      <c r="BW32" s="5">
        <v>572598</v>
      </c>
      <c r="BX32" s="49">
        <f t="shared" si="30"/>
        <v>4.3382714699611968E-2</v>
      </c>
      <c r="CA32" s="5">
        <v>548790</v>
      </c>
      <c r="CB32" s="49">
        <f t="shared" si="32"/>
        <v>5.1541413820127113E-2</v>
      </c>
      <c r="CE32" s="5">
        <v>521891</v>
      </c>
      <c r="CF32" s="49">
        <f t="shared" si="34"/>
        <v>5.4042045268644978E-2</v>
      </c>
      <c r="CI32" s="5">
        <v>495133</v>
      </c>
      <c r="CJ32" s="50">
        <f t="shared" si="36"/>
        <v>6.1346497639942266E-2</v>
      </c>
      <c r="CM32" s="5">
        <v>466514</v>
      </c>
      <c r="CN32" s="49">
        <f t="shared" si="38"/>
        <v>2.796464700995771E-2</v>
      </c>
      <c r="CQ32" s="5">
        <v>453823</v>
      </c>
      <c r="CR32" s="50">
        <f t="shared" si="40"/>
        <v>8.366584285492551E-2</v>
      </c>
      <c r="CU32" s="5">
        <v>418785</v>
      </c>
      <c r="CV32" s="49">
        <f t="shared" si="42"/>
        <v>8.1832671586925532E-2</v>
      </c>
      <c r="CY32" s="5">
        <v>387107</v>
      </c>
      <c r="CZ32" s="50">
        <f t="shared" si="43"/>
        <v>9.3090303269893315E-2</v>
      </c>
      <c r="DC32" s="5">
        <v>354140</v>
      </c>
      <c r="DD32" s="50">
        <f t="shared" si="44"/>
        <v>7.162526099192057E-2</v>
      </c>
      <c r="DG32" s="5">
        <v>330470</v>
      </c>
      <c r="DH32" s="49">
        <f t="shared" si="45"/>
        <v>6.0245181755360644E-3</v>
      </c>
      <c r="DJ32" s="43"/>
      <c r="DK32" s="34"/>
      <c r="DL32" s="5">
        <v>328491</v>
      </c>
      <c r="DM32" s="49">
        <f t="shared" si="46"/>
        <v>7.0233340066594208E-2</v>
      </c>
      <c r="DP32" s="5">
        <v>306934</v>
      </c>
      <c r="DQ32" s="50">
        <f t="shared" si="48"/>
        <v>7.4006942306077406E-2</v>
      </c>
      <c r="DT32" s="5">
        <v>285784</v>
      </c>
      <c r="DU32" s="49">
        <f t="shared" si="50"/>
        <v>6.9767093649165668E-2</v>
      </c>
      <c r="DX32" s="5">
        <v>267146</v>
      </c>
      <c r="DY32" s="49">
        <f t="shared" si="52"/>
        <v>8.2746321890325492E-2</v>
      </c>
      <c r="EB32" s="5">
        <v>246730</v>
      </c>
      <c r="EC32" s="49">
        <f t="shared" si="54"/>
        <v>9.5151646966394887E-2</v>
      </c>
      <c r="EF32" s="5">
        <v>225293</v>
      </c>
      <c r="EG32" s="49">
        <f t="shared" si="56"/>
        <v>0.10350114125057552</v>
      </c>
      <c r="EJ32" s="5">
        <v>204162</v>
      </c>
      <c r="EK32" s="50">
        <f t="shared" si="58"/>
        <v>0.11855492184546601</v>
      </c>
      <c r="EN32" s="5">
        <v>182523</v>
      </c>
      <c r="EO32" s="49">
        <f t="shared" si="60"/>
        <v>0.11401838356465377</v>
      </c>
      <c r="ER32" s="5">
        <v>163842</v>
      </c>
      <c r="ES32" s="50">
        <f t="shared" si="62"/>
        <v>0.12957090066736532</v>
      </c>
      <c r="ET32" s="8"/>
      <c r="EU32" s="8"/>
      <c r="EV32" s="8">
        <v>145048</v>
      </c>
      <c r="EW32" s="50">
        <f t="shared" si="64"/>
        <v>4.4412442396313256E-2</v>
      </c>
      <c r="EX32" s="49"/>
      <c r="EY32" s="8"/>
      <c r="EZ32" s="8">
        <v>138880</v>
      </c>
      <c r="FA32" s="49">
        <f t="shared" si="66"/>
        <v>3.5328497625632727E-2</v>
      </c>
      <c r="FC32" s="8"/>
      <c r="FD32" s="8">
        <v>134141</v>
      </c>
      <c r="FE32" s="49">
        <f t="shared" si="67"/>
        <v>5.8871356061981572E-2</v>
      </c>
      <c r="FF32" s="8"/>
      <c r="FG32" s="8"/>
      <c r="FH32" s="37">
        <v>126683</v>
      </c>
      <c r="FI32" s="49">
        <f t="shared" si="88"/>
        <v>7.8869377118427453E-2</v>
      </c>
      <c r="FJ32" s="37"/>
      <c r="FK32" s="8"/>
      <c r="FL32" s="8">
        <v>117422</v>
      </c>
      <c r="FM32" s="49">
        <f>SUM(FL32/FP32)-100%</f>
        <v>0.10692974104205355</v>
      </c>
      <c r="FN32" s="8"/>
      <c r="FO32" s="51"/>
      <c r="FP32" s="8">
        <f>106079</f>
        <v>106079</v>
      </c>
      <c r="FQ32" s="49">
        <f>SUM(FP32/FT32)-100%</f>
        <v>0.11606889223226413</v>
      </c>
      <c r="FR32" s="8"/>
      <c r="FS32" s="51"/>
      <c r="FT32" s="8">
        <v>95047</v>
      </c>
      <c r="FU32" s="51">
        <f>SUM(FT32/FX32)-100%</f>
        <v>0.12765906960741269</v>
      </c>
      <c r="FV32" s="8"/>
      <c r="FW32" s="8"/>
      <c r="FX32" s="8">
        <v>84287</v>
      </c>
      <c r="FY32" s="39"/>
    </row>
    <row r="33" spans="2:181" s="5" customFormat="1" x14ac:dyDescent="0.2">
      <c r="B33" s="52" t="s">
        <v>29</v>
      </c>
      <c r="C33" s="53">
        <f>302221+710256</f>
        <v>1012477</v>
      </c>
      <c r="D33" s="49">
        <f>SUM(C33/G33)-100%</f>
        <v>2.7218614334311608E-2</v>
      </c>
      <c r="E33" s="53"/>
      <c r="F33" s="53"/>
      <c r="G33" s="53">
        <f>294503+691146</f>
        <v>985649</v>
      </c>
      <c r="H33" s="49">
        <f>SUM(G33/K33)-100%</f>
        <v>3.0727884007048178E-2</v>
      </c>
      <c r="I33" s="53"/>
      <c r="J33" s="53"/>
      <c r="K33" s="185">
        <f>286155+670110</f>
        <v>956265</v>
      </c>
      <c r="L33" s="50">
        <f>SUM(K33/O33)-100%</f>
        <v>3.9702136126269272E-2</v>
      </c>
      <c r="M33" s="185"/>
      <c r="N33" s="185"/>
      <c r="O33" s="53">
        <f>645076+274673</f>
        <v>919749</v>
      </c>
      <c r="P33" s="49">
        <f>SUM(O33/S33)-100%</f>
        <v>2.8903292494115718E-2</v>
      </c>
      <c r="Q33" s="53"/>
      <c r="R33" s="53"/>
      <c r="S33" s="53">
        <f>267223+626689</f>
        <v>893912</v>
      </c>
      <c r="T33" s="50">
        <f>SUM(S33/W33)-100%</f>
        <v>3.799023449973582E-2</v>
      </c>
      <c r="U33" s="53"/>
      <c r="V33" s="53"/>
      <c r="W33" s="53">
        <f>258282+602913</f>
        <v>861195</v>
      </c>
      <c r="X33" s="49">
        <f>SUM(W33/AA33)-100%</f>
        <v>2.9947832576295852E-2</v>
      </c>
      <c r="Y33" s="53"/>
      <c r="Z33" s="53"/>
      <c r="AA33" s="53">
        <f>250828+585326</f>
        <v>836154</v>
      </c>
      <c r="AB33" s="50">
        <f>SUM(AA33/AE33)-100%</f>
        <v>4.4758925046105791E-2</v>
      </c>
      <c r="AC33" s="53"/>
      <c r="AD33" s="53"/>
      <c r="AE33" s="53">
        <f>241292+559040</f>
        <v>800332</v>
      </c>
      <c r="AF33" s="49">
        <f>SUM(AE33/AI33)-100%</f>
        <v>4.4356290941357512E-2</v>
      </c>
      <c r="AG33" s="53"/>
      <c r="AH33" s="53"/>
      <c r="AI33" s="53">
        <f>231482+534858</f>
        <v>766340</v>
      </c>
      <c r="AJ33" s="50">
        <f>SUM(AI33/AM33)-100%</f>
        <v>4.6029445085979281E-2</v>
      </c>
      <c r="AK33" s="53"/>
      <c r="AL33" s="53"/>
      <c r="AM33" s="54">
        <f>221070+511548</f>
        <v>732618</v>
      </c>
      <c r="AN33" s="50">
        <f>SUM(AM33/AQ33)-100%</f>
        <v>3.2167442017734915E-2</v>
      </c>
      <c r="AO33" s="54"/>
      <c r="AP33" s="54"/>
      <c r="AQ33" s="54">
        <f>214614+495172</f>
        <v>709786</v>
      </c>
      <c r="AR33" s="50">
        <f t="shared" si="14"/>
        <v>3.0433072066408995E-2</v>
      </c>
      <c r="AS33" s="54"/>
      <c r="AT33" s="54"/>
      <c r="AU33" s="54">
        <f>209355+479468</f>
        <v>688823</v>
      </c>
      <c r="AV33" s="49">
        <f t="shared" si="16"/>
        <v>2.362369710785428E-2</v>
      </c>
      <c r="AW33" s="54"/>
      <c r="AX33" s="54"/>
      <c r="AY33" s="54">
        <f>206257+466669</f>
        <v>672926</v>
      </c>
      <c r="AZ33" s="50">
        <f t="shared" si="18"/>
        <v>3.4413002141301385E-2</v>
      </c>
      <c r="BA33" s="54"/>
      <c r="BB33" s="54"/>
      <c r="BC33" s="54">
        <f>202110+448429</f>
        <v>650539</v>
      </c>
      <c r="BD33" s="55">
        <f t="shared" si="89"/>
        <v>2.7746707616086441E-2</v>
      </c>
      <c r="BE33" s="54"/>
      <c r="BF33" s="54"/>
      <c r="BG33" s="54">
        <f>197998+434978</f>
        <v>632976</v>
      </c>
      <c r="BH33" s="55">
        <f t="shared" si="22"/>
        <v>4.4488997797084151E-2</v>
      </c>
      <c r="BI33" s="54"/>
      <c r="BJ33" s="54"/>
      <c r="BK33" s="54">
        <f>192117+413898</f>
        <v>606015</v>
      </c>
      <c r="BL33" s="56">
        <f t="shared" si="24"/>
        <v>5.3887810680523396E-2</v>
      </c>
      <c r="BM33" s="54"/>
      <c r="BN33" s="54"/>
      <c r="BO33" s="54">
        <f>185643+389385</f>
        <v>575028</v>
      </c>
      <c r="BP33" s="56">
        <f t="shared" si="26"/>
        <v>5.1972214650423787E-2</v>
      </c>
      <c r="BQ33" s="54"/>
      <c r="BR33" s="54"/>
      <c r="BS33" s="54">
        <f>180295+366324</f>
        <v>546619</v>
      </c>
      <c r="BT33" s="55">
        <f t="shared" si="28"/>
        <v>4.4315973887276705E-2</v>
      </c>
      <c r="BU33" s="54"/>
      <c r="BV33" s="54"/>
      <c r="BW33" s="54">
        <f>174907+348516</f>
        <v>523423</v>
      </c>
      <c r="BX33" s="55">
        <f t="shared" si="30"/>
        <v>5.2989138634795374E-2</v>
      </c>
      <c r="BY33" s="54"/>
      <c r="BZ33" s="54"/>
      <c r="CA33" s="54">
        <f>169194+327889</f>
        <v>497083</v>
      </c>
      <c r="CB33" s="55">
        <f t="shared" si="32"/>
        <v>6.8304172997693868E-2</v>
      </c>
      <c r="CC33" s="54"/>
      <c r="CD33" s="54"/>
      <c r="CE33" s="54">
        <f>161635+303666</f>
        <v>465301</v>
      </c>
      <c r="CF33" s="56">
        <f t="shared" si="34"/>
        <v>9.5147984701382748E-2</v>
      </c>
      <c r="CG33" s="54"/>
      <c r="CH33" s="54"/>
      <c r="CI33" s="54">
        <f>153289+271586</f>
        <v>424875</v>
      </c>
      <c r="CJ33" s="55">
        <f t="shared" si="36"/>
        <v>6.3194877146095951E-2</v>
      </c>
      <c r="CK33" s="54"/>
      <c r="CL33" s="54"/>
      <c r="CM33" s="54">
        <f>147033+252588</f>
        <v>399621</v>
      </c>
      <c r="CN33" s="55">
        <f t="shared" si="38"/>
        <v>6.4875091599493784E-2</v>
      </c>
      <c r="CO33" s="54"/>
      <c r="CP33" s="54"/>
      <c r="CQ33" s="54">
        <f>141034+234241</f>
        <v>375275</v>
      </c>
      <c r="CR33" s="55">
        <f t="shared" si="40"/>
        <v>7.0690845596836471E-2</v>
      </c>
      <c r="CS33" s="54"/>
      <c r="CT33" s="54"/>
      <c r="CU33" s="54">
        <f>134747+215751</f>
        <v>350498</v>
      </c>
      <c r="CV33" s="55">
        <f t="shared" si="42"/>
        <v>8.285678094655502E-2</v>
      </c>
      <c r="CW33" s="54"/>
      <c r="CX33" s="54"/>
      <c r="CY33" s="54">
        <f>126419+197260</f>
        <v>323679</v>
      </c>
      <c r="CZ33" s="56">
        <f t="shared" si="43"/>
        <v>9.9722078769264311E-2</v>
      </c>
      <c r="DA33" s="54"/>
      <c r="DB33" s="54"/>
      <c r="DC33" s="54">
        <f>175734+118594</f>
        <v>294328</v>
      </c>
      <c r="DD33" s="56">
        <f t="shared" si="44"/>
        <v>7.8199581655866268E-2</v>
      </c>
      <c r="DE33" s="54"/>
      <c r="DF33" s="54"/>
      <c r="DG33" s="54">
        <f>163197+109784</f>
        <v>272981</v>
      </c>
      <c r="DH33" s="55">
        <f t="shared" si="45"/>
        <v>-2.1005028009094873E-2</v>
      </c>
      <c r="DI33" s="54"/>
      <c r="DJ33" s="54"/>
      <c r="DK33" s="34"/>
      <c r="DL33" s="54">
        <f>113648+165190</f>
        <v>278838</v>
      </c>
      <c r="DM33" s="55">
        <f t="shared" si="46"/>
        <v>6.14878600306068E-2</v>
      </c>
      <c r="DN33" s="54"/>
      <c r="DO33" s="54"/>
      <c r="DP33" s="54">
        <f>154917+107769</f>
        <v>262686</v>
      </c>
      <c r="DQ33" s="55">
        <f t="shared" si="48"/>
        <v>7.475840172821524E-2</v>
      </c>
      <c r="DR33" s="54"/>
      <c r="DS33" s="54"/>
      <c r="DT33" s="54">
        <f>142872+101542</f>
        <v>244414</v>
      </c>
      <c r="DU33" s="55">
        <f t="shared" si="50"/>
        <v>8.4833178725349567E-2</v>
      </c>
      <c r="DV33" s="54"/>
      <c r="DW33" s="54"/>
      <c r="DX33" s="54">
        <f>130842+94459</f>
        <v>225301</v>
      </c>
      <c r="DY33" s="56">
        <f t="shared" si="52"/>
        <v>9.6381907102362607E-2</v>
      </c>
      <c r="DZ33" s="54"/>
      <c r="EA33" s="54"/>
      <c r="EB33" s="54">
        <f>118971+86524</f>
        <v>205495</v>
      </c>
      <c r="EC33" s="55">
        <f t="shared" si="54"/>
        <v>8.0546017657235014E-2</v>
      </c>
      <c r="ED33" s="54"/>
      <c r="EE33" s="54"/>
      <c r="EF33" s="54">
        <f>109483+80694</f>
        <v>190177</v>
      </c>
      <c r="EG33" s="55">
        <f t="shared" si="56"/>
        <v>8.8454802486235273E-2</v>
      </c>
      <c r="EH33" s="54"/>
      <c r="EI33" s="54"/>
      <c r="EJ33" s="54">
        <f>100709+74013</f>
        <v>174722</v>
      </c>
      <c r="EK33" s="56">
        <f t="shared" si="58"/>
        <v>9.3085089744311622E-2</v>
      </c>
      <c r="EL33" s="54"/>
      <c r="EM33" s="54"/>
      <c r="EN33" s="54">
        <f>91973+67870</f>
        <v>159843</v>
      </c>
      <c r="EO33" s="55">
        <f t="shared" si="60"/>
        <v>9.2525255286864505E-2</v>
      </c>
      <c r="EP33" s="57"/>
      <c r="EQ33" s="58"/>
      <c r="ER33" s="54">
        <f>84348+61958</f>
        <v>146306</v>
      </c>
      <c r="ES33" s="56">
        <f t="shared" si="62"/>
        <v>0.1075816647110035</v>
      </c>
      <c r="ET33" s="57"/>
      <c r="EU33" s="57"/>
      <c r="EV33" s="59">
        <f>76840+55255</f>
        <v>132095</v>
      </c>
      <c r="EW33" s="56">
        <f t="shared" si="64"/>
        <v>0.10435320575522722</v>
      </c>
      <c r="EX33" s="57"/>
      <c r="EY33" s="57"/>
      <c r="EZ33" s="54">
        <f>69430+50183</f>
        <v>119613</v>
      </c>
      <c r="FA33" s="55">
        <f t="shared" si="66"/>
        <v>8.3313710217907122E-2</v>
      </c>
      <c r="FB33" s="53"/>
      <c r="FC33" s="53"/>
      <c r="FD33" s="53">
        <f>63663+46751</f>
        <v>110414</v>
      </c>
      <c r="FE33" s="55">
        <f t="shared" si="67"/>
        <v>0.10751792968554086</v>
      </c>
      <c r="FF33" s="53"/>
      <c r="FG33" s="53"/>
      <c r="FH33" s="58">
        <f>56967+42728</f>
        <v>99695</v>
      </c>
      <c r="FI33" s="56">
        <f t="shared" si="88"/>
        <v>0.1131643590888789</v>
      </c>
      <c r="FJ33" s="53"/>
      <c r="FK33" s="57"/>
      <c r="FL33" s="53">
        <f>50462+39098</f>
        <v>89560</v>
      </c>
      <c r="FM33" s="55">
        <f>SUM(FL33/FP33)-100%</f>
        <v>8.5588916229287548E-2</v>
      </c>
      <c r="FN33" s="53"/>
      <c r="FO33" s="57"/>
      <c r="FP33" s="53">
        <f>45743+36756</f>
        <v>82499</v>
      </c>
      <c r="FQ33" s="55">
        <f t="shared" ref="FQ33:FQ35" si="90">SUM(FP33/FT33)-100%</f>
        <v>0.14862719982178652</v>
      </c>
      <c r="FR33" s="53"/>
      <c r="FS33" s="57"/>
      <c r="FT33" s="53">
        <f>38643+33181</f>
        <v>71824</v>
      </c>
      <c r="FU33" s="57">
        <f t="shared" ref="FU33:FU35" si="91">SUM(FT33/FX33)-100%</f>
        <v>0.12673935210604759</v>
      </c>
      <c r="FV33" s="53"/>
      <c r="FW33" s="53"/>
      <c r="FX33" s="53">
        <f>34186+29559</f>
        <v>63745</v>
      </c>
      <c r="FY33" s="60"/>
    </row>
    <row r="34" spans="2:181" s="5" customFormat="1" x14ac:dyDescent="0.2">
      <c r="B34" s="48" t="s">
        <v>28</v>
      </c>
      <c r="C34" s="25">
        <f>C32-C33</f>
        <v>56053</v>
      </c>
      <c r="D34" s="49">
        <f>SUM(C34/G34)-100%</f>
        <v>3.6482988165680519E-2</v>
      </c>
      <c r="E34" s="8"/>
      <c r="F34" s="8"/>
      <c r="G34" s="25">
        <f>G32-G33</f>
        <v>54080</v>
      </c>
      <c r="H34" s="49">
        <f>SUM(G34/K34)-100%</f>
        <v>1.2809948310734898E-2</v>
      </c>
      <c r="I34" s="8"/>
      <c r="J34" s="8"/>
      <c r="K34" s="25">
        <f>K32-K33</f>
        <v>53396</v>
      </c>
      <c r="L34" s="50">
        <f>SUM(K34/O34)-100%</f>
        <v>9.8534278959809818E-3</v>
      </c>
      <c r="M34" s="25"/>
      <c r="N34" s="25"/>
      <c r="O34" s="25">
        <f>O32-O33</f>
        <v>52875</v>
      </c>
      <c r="P34" s="50">
        <f>SUM(O34/S34)-100%</f>
        <v>2.5186133085155937E-2</v>
      </c>
      <c r="Q34" s="8"/>
      <c r="R34" s="8"/>
      <c r="S34" s="25">
        <f>S32-S33</f>
        <v>51576</v>
      </c>
      <c r="T34" s="49">
        <f>SUM(S34/W34)-100%</f>
        <v>7.7418007102569408E-2</v>
      </c>
      <c r="U34" s="8"/>
      <c r="V34" s="8"/>
      <c r="W34" s="25">
        <f>W32-W33</f>
        <v>47870</v>
      </c>
      <c r="X34" s="50">
        <f>SUM(W34/AA34)-100%</f>
        <v>-2.1463614063777614E-2</v>
      </c>
      <c r="Y34" s="8"/>
      <c r="Z34" s="8"/>
      <c r="AA34" s="25">
        <f>AA32-AA33</f>
        <v>48920</v>
      </c>
      <c r="AB34" s="49">
        <f>SUM(AA34/AE34)-100%</f>
        <v>7.0576649524017876E-2</v>
      </c>
      <c r="AC34" s="8"/>
      <c r="AD34" s="8"/>
      <c r="AE34" s="25">
        <f>AE32-AE33</f>
        <v>45695</v>
      </c>
      <c r="AF34" s="50">
        <f>SUM(AE34/AI34)-100%</f>
        <v>1.4464485305398789E-3</v>
      </c>
      <c r="AG34" s="8"/>
      <c r="AH34" s="8"/>
      <c r="AI34" s="25">
        <f>AI32-AI33</f>
        <v>45629</v>
      </c>
      <c r="AJ34" s="49">
        <f>SUM(AI34/AM34)-100%</f>
        <v>5.8481024403822968E-2</v>
      </c>
      <c r="AK34" s="8"/>
      <c r="AL34" s="8"/>
      <c r="AM34" s="25">
        <f>AM32-AM33</f>
        <v>43108</v>
      </c>
      <c r="AN34" s="50">
        <f>SUM(AM34/AQ34)-100%</f>
        <v>-6.5773790174024183E-2</v>
      </c>
      <c r="AO34" s="25"/>
      <c r="AP34" s="25"/>
      <c r="AQ34" s="25">
        <f>AQ32-AQ33</f>
        <v>46143</v>
      </c>
      <c r="AR34" s="50">
        <f t="shared" si="14"/>
        <v>-2.6334114072292247E-2</v>
      </c>
      <c r="AS34" s="25"/>
      <c r="AT34" s="25"/>
      <c r="AU34" s="25">
        <f>AU32-AU33</f>
        <v>47391</v>
      </c>
      <c r="AV34" s="49">
        <f t="shared" si="16"/>
        <v>0.18308909803529971</v>
      </c>
      <c r="AW34" s="25"/>
      <c r="AX34" s="25"/>
      <c r="AY34" s="25">
        <f>AY32-AY33</f>
        <v>40057</v>
      </c>
      <c r="AZ34" s="50">
        <f t="shared" si="18"/>
        <v>6.7449412940301379E-4</v>
      </c>
      <c r="BA34" s="25"/>
      <c r="BB34" s="25"/>
      <c r="BC34" s="25">
        <f>BC32-BC33</f>
        <v>40030</v>
      </c>
      <c r="BD34" s="49">
        <f t="shared" si="89"/>
        <v>1.9015859277550007E-2</v>
      </c>
      <c r="BE34" s="25"/>
      <c r="BF34" s="25"/>
      <c r="BG34" s="25">
        <f>BG32-BG33</f>
        <v>39283</v>
      </c>
      <c r="BH34" s="50">
        <f t="shared" si="22"/>
        <v>-9.7689268651231176E-2</v>
      </c>
      <c r="BI34" s="25"/>
      <c r="BJ34" s="25"/>
      <c r="BK34" s="25">
        <f>BK32-BK33</f>
        <v>43536</v>
      </c>
      <c r="BL34" s="49">
        <f t="shared" si="24"/>
        <v>-5.2370380044403864E-2</v>
      </c>
      <c r="BM34" s="25"/>
      <c r="BN34" s="25"/>
      <c r="BO34" s="25">
        <f>BO32-BO33</f>
        <v>45942</v>
      </c>
      <c r="BP34" s="50">
        <f t="shared" si="26"/>
        <v>-7.345111326234266E-2</v>
      </c>
      <c r="BQ34" s="25"/>
      <c r="BR34" s="25"/>
      <c r="BS34" s="25">
        <f>BS32-BS33</f>
        <v>49584</v>
      </c>
      <c r="BT34" s="49">
        <f t="shared" si="28"/>
        <v>8.3172343670563365E-3</v>
      </c>
      <c r="BU34" s="25"/>
      <c r="BV34" s="25"/>
      <c r="BW34" s="25">
        <f>BW32-BW33</f>
        <v>49175</v>
      </c>
      <c r="BX34" s="49">
        <f t="shared" si="30"/>
        <v>-4.8968224805152061E-2</v>
      </c>
      <c r="BY34" s="25"/>
      <c r="BZ34" s="25"/>
      <c r="CA34" s="25">
        <f>CA32-CA33</f>
        <v>51707</v>
      </c>
      <c r="CB34" s="49">
        <f t="shared" si="32"/>
        <v>-8.6287329916946431E-2</v>
      </c>
      <c r="CC34" s="25"/>
      <c r="CD34" s="25"/>
      <c r="CE34" s="25">
        <f>CE32-CE33</f>
        <v>56590</v>
      </c>
      <c r="CF34" s="50">
        <f t="shared" si="34"/>
        <v>-0.19454012354464967</v>
      </c>
      <c r="CG34" s="25"/>
      <c r="CH34" s="25"/>
      <c r="CI34" s="25">
        <f>CI32-CI33</f>
        <v>70258</v>
      </c>
      <c r="CJ34" s="49">
        <f t="shared" si="36"/>
        <v>5.0304217182664868E-2</v>
      </c>
      <c r="CK34" s="25"/>
      <c r="CL34" s="25"/>
      <c r="CM34" s="25">
        <f>CM32-CM33</f>
        <v>66893</v>
      </c>
      <c r="CN34" s="50">
        <f t="shared" si="38"/>
        <v>-0.14838060803585074</v>
      </c>
      <c r="CO34" s="25"/>
      <c r="CP34" s="25"/>
      <c r="CQ34" s="25">
        <f>CQ32-CQ33</f>
        <v>78548</v>
      </c>
      <c r="CR34" s="49">
        <f t="shared" si="40"/>
        <v>0.15026286115951781</v>
      </c>
      <c r="CS34" s="25"/>
      <c r="CT34" s="25"/>
      <c r="CU34" s="25">
        <f>CU32-CU33</f>
        <v>68287</v>
      </c>
      <c r="CV34" s="49">
        <f t="shared" si="42"/>
        <v>7.6606546004919007E-2</v>
      </c>
      <c r="CW34" s="25"/>
      <c r="CX34" s="25"/>
      <c r="CY34" s="25">
        <f>CY32-CY33</f>
        <v>63428</v>
      </c>
      <c r="CZ34" s="49">
        <f t="shared" si="43"/>
        <v>6.0456095766735718E-2</v>
      </c>
      <c r="DA34" s="25"/>
      <c r="DB34" s="25"/>
      <c r="DC34" s="25">
        <f>DC32-DC33</f>
        <v>59812</v>
      </c>
      <c r="DD34" s="50">
        <f t="shared" si="44"/>
        <v>4.0407730174468082E-2</v>
      </c>
      <c r="DE34" s="25"/>
      <c r="DF34" s="25"/>
      <c r="DG34" s="25">
        <f>DG32-DG33</f>
        <v>57489</v>
      </c>
      <c r="DH34" s="49">
        <f t="shared" si="45"/>
        <v>0.15781523774998485</v>
      </c>
      <c r="DI34" s="25"/>
      <c r="DJ34" s="25"/>
      <c r="DK34" s="61"/>
      <c r="DL34" s="25">
        <f>DL32-DL33</f>
        <v>49653</v>
      </c>
      <c r="DM34" s="49">
        <f t="shared" si="46"/>
        <v>0.12215241366841445</v>
      </c>
      <c r="DN34" s="25"/>
      <c r="DO34" s="25"/>
      <c r="DP34" s="25">
        <f>DP32-DP33</f>
        <v>44248</v>
      </c>
      <c r="DQ34" s="49">
        <f t="shared" si="48"/>
        <v>6.9567319313512233E-2</v>
      </c>
      <c r="DR34" s="25"/>
      <c r="DS34" s="25"/>
      <c r="DT34" s="25">
        <f>DT32-DT33</f>
        <v>41370</v>
      </c>
      <c r="DU34" s="50">
        <f t="shared" si="50"/>
        <v>-1.1351415939777731E-2</v>
      </c>
      <c r="DV34" s="25"/>
      <c r="DW34" s="25"/>
      <c r="DX34" s="25">
        <f>DX32-DX33</f>
        <v>41845</v>
      </c>
      <c r="DY34" s="50">
        <f t="shared" si="52"/>
        <v>1.4793258154480515E-2</v>
      </c>
      <c r="DZ34" s="25"/>
      <c r="EA34" s="25"/>
      <c r="EB34" s="25">
        <f>EB32-EB33</f>
        <v>41235</v>
      </c>
      <c r="EC34" s="50">
        <f t="shared" si="54"/>
        <v>0.17425105365075755</v>
      </c>
      <c r="ED34" s="25"/>
      <c r="EE34" s="25"/>
      <c r="EF34" s="25">
        <f>EF32-EF33</f>
        <v>35116</v>
      </c>
      <c r="EG34" s="50">
        <f t="shared" si="56"/>
        <v>0.19279891304347818</v>
      </c>
      <c r="EH34" s="25"/>
      <c r="EI34" s="25"/>
      <c r="EJ34" s="25">
        <f>EJ32-EJ33</f>
        <v>29440</v>
      </c>
      <c r="EK34" s="49">
        <f t="shared" si="58"/>
        <v>0.29805996472663132</v>
      </c>
      <c r="EL34" s="25"/>
      <c r="EM34" s="25"/>
      <c r="EN34" s="25">
        <f>EN32-EN33</f>
        <v>22680</v>
      </c>
      <c r="EO34" s="50">
        <f t="shared" si="60"/>
        <v>0.2933394160583942</v>
      </c>
      <c r="EP34" s="25"/>
      <c r="EQ34" s="25"/>
      <c r="ER34" s="25">
        <f>ER32-ER33</f>
        <v>17536</v>
      </c>
      <c r="ES34" s="49">
        <f t="shared" si="62"/>
        <v>0.35381764842121521</v>
      </c>
      <c r="ET34" s="25"/>
      <c r="EU34" s="25"/>
      <c r="EV34" s="25">
        <f>EV32-EV33</f>
        <v>12953</v>
      </c>
      <c r="EW34" s="50">
        <f t="shared" si="64"/>
        <v>-0.32771059324233143</v>
      </c>
      <c r="EX34" s="25"/>
      <c r="EY34" s="25"/>
      <c r="EZ34" s="25">
        <f>EZ32-EZ33</f>
        <v>19267</v>
      </c>
      <c r="FA34" s="50">
        <f t="shared" si="66"/>
        <v>-0.18797150925106421</v>
      </c>
      <c r="FC34" s="25"/>
      <c r="FD34" s="25">
        <f>FD32-FD33</f>
        <v>23727</v>
      </c>
      <c r="FE34" s="50">
        <f t="shared" si="67"/>
        <v>-0.12083148065807026</v>
      </c>
      <c r="FF34" s="8"/>
      <c r="FG34" s="8"/>
      <c r="FH34" s="25">
        <f>FH32-FH33</f>
        <v>26988</v>
      </c>
      <c r="FI34" s="50">
        <f t="shared" si="88"/>
        <v>-3.1368889526954269E-2</v>
      </c>
      <c r="FJ34" s="8"/>
      <c r="FK34" s="51"/>
      <c r="FL34" s="25">
        <f>FL32-FL33</f>
        <v>27862</v>
      </c>
      <c r="FM34" s="49">
        <f>SUM(FL34/FP34)-100%</f>
        <v>0.18159457167090753</v>
      </c>
      <c r="FN34" s="8"/>
      <c r="FO34" s="51"/>
      <c r="FP34" s="8">
        <f>FP32-FP33</f>
        <v>23580</v>
      </c>
      <c r="FQ34" s="50">
        <f t="shared" si="90"/>
        <v>1.5372690866813032E-2</v>
      </c>
      <c r="FR34" s="8"/>
      <c r="FS34" s="51"/>
      <c r="FT34" s="8">
        <f>FT32-FT33</f>
        <v>23223</v>
      </c>
      <c r="FU34" s="51">
        <f t="shared" si="91"/>
        <v>0.13051309512218867</v>
      </c>
      <c r="FV34" s="8"/>
      <c r="FW34" s="8"/>
      <c r="FX34" s="8">
        <f>FX32-FX33</f>
        <v>20542</v>
      </c>
      <c r="FY34" s="39"/>
    </row>
    <row r="35" spans="2:181" s="5" customFormat="1" x14ac:dyDescent="0.2">
      <c r="B35" s="62" t="s">
        <v>38</v>
      </c>
      <c r="C35" s="196" t="s">
        <v>38</v>
      </c>
      <c r="D35" s="64"/>
      <c r="E35" s="64"/>
      <c r="F35" s="64"/>
      <c r="G35" s="63" t="s">
        <v>38</v>
      </c>
      <c r="H35" s="64"/>
      <c r="I35" s="64"/>
      <c r="J35" s="64"/>
      <c r="K35" s="63" t="s">
        <v>38</v>
      </c>
      <c r="L35" s="64"/>
      <c r="M35" s="186"/>
      <c r="N35" s="186"/>
      <c r="O35" s="63" t="s">
        <v>38</v>
      </c>
      <c r="P35" s="64"/>
      <c r="Q35" s="64"/>
      <c r="R35" s="64"/>
      <c r="S35" s="63" t="s">
        <v>38</v>
      </c>
      <c r="T35" s="64"/>
      <c r="U35" s="64"/>
      <c r="V35" s="64"/>
      <c r="W35" s="63" t="s">
        <v>38</v>
      </c>
      <c r="X35" s="53"/>
      <c r="Y35" s="53"/>
      <c r="Z35" s="53"/>
      <c r="AA35" s="63" t="s">
        <v>38</v>
      </c>
      <c r="AB35" s="63"/>
      <c r="AC35" s="64"/>
      <c r="AD35" s="64"/>
      <c r="AE35" s="63" t="s">
        <v>38</v>
      </c>
      <c r="AF35" s="63"/>
      <c r="AG35" s="64"/>
      <c r="AH35" s="64"/>
      <c r="AI35" s="63" t="s">
        <v>38</v>
      </c>
      <c r="AJ35" s="63"/>
      <c r="AK35" s="64"/>
      <c r="AL35" s="64"/>
      <c r="AM35" s="63" t="s">
        <v>38</v>
      </c>
      <c r="AN35" s="63"/>
      <c r="AO35" s="63"/>
      <c r="AP35" s="63"/>
      <c r="AQ35" s="63" t="s">
        <v>38</v>
      </c>
      <c r="AR35" s="63"/>
      <c r="AS35" s="63"/>
      <c r="AT35" s="63"/>
      <c r="AU35" s="63" t="s">
        <v>38</v>
      </c>
      <c r="AV35" s="63"/>
      <c r="AW35" s="63"/>
      <c r="AX35" s="63"/>
      <c r="AY35" s="63" t="s">
        <v>38</v>
      </c>
      <c r="AZ35" s="63"/>
      <c r="BA35" s="63"/>
      <c r="BB35" s="63"/>
      <c r="BC35" s="63" t="s">
        <v>38</v>
      </c>
      <c r="BD35" s="63"/>
      <c r="BE35" s="63"/>
      <c r="BF35" s="63"/>
      <c r="BG35" s="63" t="s">
        <v>38</v>
      </c>
      <c r="BH35" s="63"/>
      <c r="BI35" s="63"/>
      <c r="BJ35" s="63"/>
      <c r="BK35" s="63" t="s">
        <v>38</v>
      </c>
      <c r="BL35" s="63"/>
      <c r="BM35" s="63"/>
      <c r="BN35" s="63"/>
      <c r="BO35" s="63" t="s">
        <v>38</v>
      </c>
      <c r="BP35" s="63"/>
      <c r="BQ35" s="63"/>
      <c r="BR35" s="63"/>
      <c r="BS35" s="63" t="s">
        <v>38</v>
      </c>
      <c r="BT35" s="63"/>
      <c r="BU35" s="63"/>
      <c r="BV35" s="63"/>
      <c r="BW35" s="63" t="s">
        <v>38</v>
      </c>
      <c r="BX35" s="63"/>
      <c r="BY35" s="63"/>
      <c r="BZ35" s="63"/>
      <c r="CA35" s="63" t="s">
        <v>38</v>
      </c>
      <c r="CB35" s="63"/>
      <c r="CC35" s="63"/>
      <c r="CD35" s="63"/>
      <c r="CE35" s="63" t="s">
        <v>38</v>
      </c>
      <c r="CF35" s="63"/>
      <c r="CG35" s="63"/>
      <c r="CH35" s="63"/>
      <c r="CI35" s="63" t="s">
        <v>38</v>
      </c>
      <c r="CJ35" s="63"/>
      <c r="CK35" s="63"/>
      <c r="CL35" s="63"/>
      <c r="CM35" s="63" t="s">
        <v>38</v>
      </c>
      <c r="CN35" s="63"/>
      <c r="CO35" s="63"/>
      <c r="CP35" s="63"/>
      <c r="CQ35" s="63" t="s">
        <v>38</v>
      </c>
      <c r="CR35" s="63"/>
      <c r="CS35" s="63"/>
      <c r="CT35" s="63"/>
      <c r="CU35" s="63" t="s">
        <v>38</v>
      </c>
      <c r="CV35" s="63"/>
      <c r="CW35" s="63"/>
      <c r="CX35" s="63"/>
      <c r="CY35" s="63" t="s">
        <v>38</v>
      </c>
      <c r="CZ35" s="63"/>
      <c r="DA35" s="63"/>
      <c r="DB35" s="63"/>
      <c r="DC35" s="63" t="s">
        <v>38</v>
      </c>
      <c r="DD35" s="63"/>
      <c r="DE35" s="63"/>
      <c r="DF35" s="63"/>
      <c r="DG35" s="63" t="s">
        <v>38</v>
      </c>
      <c r="DH35" s="63" t="s">
        <v>38</v>
      </c>
      <c r="DI35" s="54"/>
      <c r="DJ35" s="65"/>
      <c r="DK35" s="34"/>
      <c r="DL35" s="54">
        <v>3738</v>
      </c>
      <c r="DM35" s="56">
        <f t="shared" si="46"/>
        <v>2.0753686510103675E-2</v>
      </c>
      <c r="DN35" s="54"/>
      <c r="DO35" s="54"/>
      <c r="DP35" s="54">
        <v>3662</v>
      </c>
      <c r="DQ35" s="55">
        <f t="shared" si="48"/>
        <v>2.6345291479820565E-2</v>
      </c>
      <c r="DR35" s="54"/>
      <c r="DS35" s="54"/>
      <c r="DT35" s="54">
        <v>3568</v>
      </c>
      <c r="DU35" s="55">
        <f t="shared" si="50"/>
        <v>9.0497737556560764E-3</v>
      </c>
      <c r="DV35" s="54"/>
      <c r="DW35" s="54"/>
      <c r="DX35" s="54">
        <v>3536</v>
      </c>
      <c r="DY35" s="56">
        <f t="shared" si="52"/>
        <v>7.9817559863168963E-3</v>
      </c>
      <c r="DZ35" s="54"/>
      <c r="EA35" s="54"/>
      <c r="EB35" s="54">
        <v>3508</v>
      </c>
      <c r="EC35" s="55">
        <f t="shared" si="54"/>
        <v>1.9767441860465196E-2</v>
      </c>
      <c r="ED35" s="54"/>
      <c r="EE35" s="54"/>
      <c r="EF35" s="54">
        <v>3440</v>
      </c>
      <c r="EG35" s="56">
        <f t="shared" si="56"/>
        <v>1.8052678307191483E-2</v>
      </c>
      <c r="EH35" s="54"/>
      <c r="EI35" s="54"/>
      <c r="EJ35" s="54">
        <v>3379</v>
      </c>
      <c r="EK35" s="56">
        <f t="shared" si="58"/>
        <v>2.6427703523693724E-2</v>
      </c>
      <c r="EL35" s="54"/>
      <c r="EM35" s="54"/>
      <c r="EN35" s="54">
        <v>3292</v>
      </c>
      <c r="EO35" s="56">
        <f t="shared" si="60"/>
        <v>3.0359937402191006E-2</v>
      </c>
      <c r="EP35" s="57"/>
      <c r="EQ35" s="57"/>
      <c r="ER35" s="54">
        <v>3195</v>
      </c>
      <c r="ES35" s="56">
        <f t="shared" si="62"/>
        <v>4.2414355628058731E-2</v>
      </c>
      <c r="ET35" s="57"/>
      <c r="EU35" s="57"/>
      <c r="EV35" s="54">
        <v>3065</v>
      </c>
      <c r="EW35" s="56">
        <f t="shared" si="64"/>
        <v>6.9434752267969246E-2</v>
      </c>
      <c r="EX35" s="57"/>
      <c r="EY35" s="57"/>
      <c r="EZ35" s="54">
        <v>2866</v>
      </c>
      <c r="FA35" s="56">
        <f t="shared" si="66"/>
        <v>7.5422138836773067E-2</v>
      </c>
      <c r="FB35" s="53"/>
      <c r="FC35" s="53"/>
      <c r="FD35" s="53">
        <v>2665</v>
      </c>
      <c r="FE35" s="56">
        <f t="shared" si="67"/>
        <v>9.7159324825030868E-2</v>
      </c>
      <c r="FF35" s="53"/>
      <c r="FG35" s="53"/>
      <c r="FH35" s="58">
        <v>2429</v>
      </c>
      <c r="FI35" s="55">
        <f t="shared" si="88"/>
        <v>0.127669452181987</v>
      </c>
      <c r="FJ35" s="53"/>
      <c r="FK35" s="57"/>
      <c r="FL35" s="53">
        <v>2154</v>
      </c>
      <c r="FM35" s="56">
        <f>SUM(FL35/FP35)-100%</f>
        <v>0.11664074650077771</v>
      </c>
      <c r="FN35" s="53"/>
      <c r="FO35" s="57"/>
      <c r="FP35" s="53">
        <v>1929</v>
      </c>
      <c r="FQ35" s="55">
        <f t="shared" si="90"/>
        <v>0.16626360338573165</v>
      </c>
      <c r="FR35" s="53"/>
      <c r="FS35" s="57"/>
      <c r="FT35" s="53">
        <v>1654</v>
      </c>
      <c r="FU35" s="57">
        <f t="shared" si="91"/>
        <v>9.1749174917491683E-2</v>
      </c>
      <c r="FV35" s="53"/>
      <c r="FW35" s="53"/>
      <c r="FX35" s="53">
        <v>1515</v>
      </c>
      <c r="FY35" s="60"/>
    </row>
    <row r="36" spans="2:181" x14ac:dyDescent="0.2">
      <c r="B36" s="12" t="s">
        <v>33</v>
      </c>
      <c r="C36" s="9">
        <v>302221</v>
      </c>
      <c r="D36" s="50">
        <f>SUM(C36/G36)-100%</f>
        <v>2.2734117758533845E-2</v>
      </c>
      <c r="E36" s="9"/>
      <c r="F36" s="9"/>
      <c r="G36" s="9">
        <v>295503</v>
      </c>
      <c r="H36" s="49">
        <f>SUM(G36/K36)-100%</f>
        <v>3.2667610211249087E-2</v>
      </c>
      <c r="I36" s="9"/>
      <c r="J36" s="9"/>
      <c r="K36" s="93">
        <v>286155</v>
      </c>
      <c r="L36" s="49">
        <f>SUM(K36/O36)-100%</f>
        <v>4.1802434167173219E-2</v>
      </c>
      <c r="M36" s="93"/>
      <c r="N36" s="93"/>
      <c r="O36" s="9">
        <v>274673</v>
      </c>
      <c r="P36" s="50">
        <f>SUM(O36/S36)-100%</f>
        <v>2.7879336733739324E-2</v>
      </c>
      <c r="Q36" s="9"/>
      <c r="R36" s="9"/>
      <c r="S36" s="9">
        <v>267223</v>
      </c>
      <c r="T36" s="49">
        <f>SUM(S36/W36)-100%</f>
        <v>3.4617201353559279E-2</v>
      </c>
      <c r="U36" s="9"/>
      <c r="V36" s="9"/>
      <c r="W36" s="8">
        <v>258282</v>
      </c>
      <c r="X36" s="50">
        <f>SUM(W36/AA36)-100%</f>
        <v>2.9717575390307394E-2</v>
      </c>
      <c r="Y36" s="8"/>
      <c r="Z36" s="8"/>
      <c r="AA36" s="9">
        <v>250828</v>
      </c>
      <c r="AB36" s="50">
        <f>SUM(AA36/AE36)-100%</f>
        <v>3.9520580872967281E-2</v>
      </c>
      <c r="AC36" s="9"/>
      <c r="AD36" s="9"/>
      <c r="AE36" s="9">
        <v>241292</v>
      </c>
      <c r="AF36" s="50">
        <f>SUM(AE36/AI36)-100%</f>
        <v>4.2379105070804668E-2</v>
      </c>
      <c r="AG36" s="9"/>
      <c r="AH36" s="9"/>
      <c r="AI36" s="9">
        <v>231482</v>
      </c>
      <c r="AJ36" s="49">
        <f>SUM(AI36/AM36)-100%</f>
        <v>4.7098204188718462E-2</v>
      </c>
      <c r="AK36" s="9"/>
      <c r="AL36" s="9"/>
      <c r="AM36" s="1">
        <v>221070</v>
      </c>
      <c r="AN36" s="49">
        <f>SUM(AM36/AQ36)-100%</f>
        <v>3.0081914506975282E-2</v>
      </c>
      <c r="AQ36" s="1">
        <v>214614</v>
      </c>
      <c r="AR36" s="49">
        <f>SUM(AQ36/AU36)-100%</f>
        <v>2.5120011463781511E-2</v>
      </c>
      <c r="AU36" s="1">
        <v>209355</v>
      </c>
      <c r="AV36" s="50">
        <f>SUM(AU36/AY36)-100%</f>
        <v>1.5020096287641227E-2</v>
      </c>
      <c r="AY36" s="1">
        <v>206257</v>
      </c>
      <c r="AZ36" s="50">
        <f>SUM(AY36/BC36)-100%</f>
        <v>2.0518529513631201E-2</v>
      </c>
      <c r="BC36" s="1">
        <v>202110</v>
      </c>
      <c r="BD36" s="50">
        <f>SUM(BC36/BG36)-100%</f>
        <v>2.0767886544308611E-2</v>
      </c>
      <c r="BG36" s="1">
        <v>197998</v>
      </c>
      <c r="BH36" s="50">
        <f>SUM(BG36/BK36)-100%</f>
        <v>3.0611554417360187E-2</v>
      </c>
      <c r="BK36" s="1">
        <v>192117</v>
      </c>
      <c r="BL36" s="49">
        <f>SUM(BK36/BO36)-100%</f>
        <v>3.4873386015093377E-2</v>
      </c>
      <c r="BO36" s="1">
        <v>185643</v>
      </c>
      <c r="BP36" s="50">
        <f>SUM(BO36/BS36)-100%</f>
        <v>2.9662497573421431E-2</v>
      </c>
      <c r="BS36" s="1">
        <v>180295</v>
      </c>
      <c r="BT36" s="50">
        <f>SUM(BS36/BW36)-100%</f>
        <v>3.080494205492057E-2</v>
      </c>
      <c r="BV36" s="1"/>
      <c r="BW36" s="1">
        <v>174907</v>
      </c>
      <c r="BX36" s="50">
        <f>SUM(BW36/CA36)-100%</f>
        <v>3.3765972788633247E-2</v>
      </c>
      <c r="CA36" s="1">
        <v>169194</v>
      </c>
      <c r="CB36" s="50">
        <f>SUM(CA36/CE36)-100%</f>
        <v>4.6765861354285843E-2</v>
      </c>
      <c r="CE36" s="1">
        <v>161635</v>
      </c>
      <c r="CF36" s="49">
        <f>SUM(CE36/CI36)-100%</f>
        <v>5.4446176829387571E-2</v>
      </c>
      <c r="CI36" s="1">
        <v>153289</v>
      </c>
      <c r="CJ36" s="50">
        <f>SUM(CI36/CM36)-100%</f>
        <v>4.2548271476471333E-2</v>
      </c>
      <c r="CM36" s="1">
        <v>147033</v>
      </c>
      <c r="CN36" s="49">
        <f>SUM(CM36/CQ36)-100%</f>
        <v>4.2535842420976522E-2</v>
      </c>
      <c r="CQ36" s="1">
        <v>141034</v>
      </c>
      <c r="CR36" s="50">
        <f>SUM(CQ36/CU36)-100%</f>
        <v>2.3862588658918105E-2</v>
      </c>
      <c r="CU36" s="1">
        <v>137747</v>
      </c>
      <c r="CV36" s="49">
        <f>SUM(CU36/CY36)-100%</f>
        <v>8.9606783790411315E-2</v>
      </c>
      <c r="CY36" s="1">
        <f>126419</f>
        <v>126419</v>
      </c>
      <c r="CZ36" s="50">
        <f>SUM(CY36/DC36)-100%</f>
        <v>6.5981415585948611E-2</v>
      </c>
      <c r="DC36" s="1">
        <v>118594</v>
      </c>
      <c r="DD36" s="49">
        <f>SUM(DC36/DG36)-100%</f>
        <v>8.024848793995476E-2</v>
      </c>
      <c r="DG36" s="1">
        <v>109784</v>
      </c>
      <c r="DH36" s="50">
        <f>SUM(DG36/DL36)-100%</f>
        <v>-3.399971842883287E-2</v>
      </c>
      <c r="DJ36" s="7"/>
      <c r="DK36" s="34"/>
      <c r="DL36" s="1">
        <v>113648</v>
      </c>
      <c r="DM36" s="50">
        <f t="shared" si="46"/>
        <v>5.455186556430891E-2</v>
      </c>
      <c r="DO36" s="1"/>
      <c r="DP36" s="1">
        <v>107769</v>
      </c>
      <c r="DQ36" s="50">
        <f t="shared" si="48"/>
        <v>6.132437808985447E-2</v>
      </c>
      <c r="DR36" s="1"/>
      <c r="DS36" s="1"/>
      <c r="DT36" s="1">
        <v>101542</v>
      </c>
      <c r="DU36" s="50">
        <f t="shared" si="50"/>
        <v>7.4984914089710974E-2</v>
      </c>
      <c r="DV36" s="1"/>
      <c r="DW36" s="1"/>
      <c r="DX36" s="1">
        <v>94459</v>
      </c>
      <c r="DY36" s="49">
        <f t="shared" si="52"/>
        <v>9.1708658869215531E-2</v>
      </c>
      <c r="EA36" s="1"/>
      <c r="EB36" s="1">
        <v>86524</v>
      </c>
      <c r="EC36" s="50">
        <f t="shared" si="54"/>
        <v>7.2248246461942722E-2</v>
      </c>
      <c r="EE36" s="1"/>
      <c r="EF36" s="1">
        <v>80694</v>
      </c>
      <c r="EG36" s="50">
        <f t="shared" si="56"/>
        <v>9.0267925904908619E-2</v>
      </c>
      <c r="EJ36" s="1">
        <v>74013</v>
      </c>
      <c r="EK36" s="50">
        <f t="shared" si="58"/>
        <v>9.0511271548548766E-2</v>
      </c>
      <c r="EN36" s="1">
        <v>67870</v>
      </c>
      <c r="EO36" s="50">
        <f t="shared" si="60"/>
        <v>9.5419477710707357E-2</v>
      </c>
      <c r="ER36" s="1">
        <v>61958</v>
      </c>
      <c r="ES36" s="49">
        <f>SUM(ER36/EV36)-100%</f>
        <v>0.12131028866165949</v>
      </c>
      <c r="EV36" s="1">
        <v>55255</v>
      </c>
      <c r="EW36" s="49">
        <f>SUM(EV36/EZ36)-100%</f>
        <v>0.10205831903945106</v>
      </c>
      <c r="EX36" s="8"/>
      <c r="EY36" s="8"/>
      <c r="EZ36" s="8">
        <v>50138</v>
      </c>
      <c r="FA36" s="50">
        <f>SUM(EZ36/FD36)-100%</f>
        <v>8.1585986711536718E-2</v>
      </c>
      <c r="FB36" s="5"/>
      <c r="FC36" s="8"/>
      <c r="FD36" s="8">
        <v>46356</v>
      </c>
      <c r="FE36" s="50">
        <f>SUM(FD36/FH36)-100%</f>
        <v>8.4909193035012098E-2</v>
      </c>
      <c r="FF36" s="8"/>
      <c r="FG36" s="8"/>
      <c r="FH36" s="8">
        <v>42728</v>
      </c>
      <c r="FI36" s="49">
        <f t="shared" si="88"/>
        <v>9.2843623714768064E-2</v>
      </c>
      <c r="FJ36" s="8"/>
      <c r="FK36" s="8"/>
      <c r="FL36" s="8">
        <v>39098</v>
      </c>
      <c r="FM36" s="50">
        <f>SUM(FL36/FP36)-100%</f>
        <v>6.3717488301229697E-2</v>
      </c>
      <c r="FN36" s="8"/>
      <c r="FO36" s="51"/>
      <c r="FP36" s="8">
        <v>36756</v>
      </c>
      <c r="FQ36" s="50">
        <f>SUM(FP36/FT36)-100%</f>
        <v>0.10770899885480079</v>
      </c>
      <c r="FR36" s="8"/>
      <c r="FS36" s="51"/>
      <c r="FT36" s="8">
        <v>33182</v>
      </c>
      <c r="FU36" s="49">
        <f>SUM(FT36/FX36)-100%</f>
        <v>0.12256842247707977</v>
      </c>
      <c r="FV36" s="8"/>
      <c r="FW36" s="9"/>
      <c r="FX36" s="9">
        <v>29559</v>
      </c>
      <c r="FY36" s="11"/>
    </row>
    <row r="37" spans="2:181" ht="15" thickBot="1" x14ac:dyDescent="0.25">
      <c r="B37" s="66" t="s">
        <v>34</v>
      </c>
      <c r="C37" s="67">
        <f>C36/C33</f>
        <v>0.2984966572080156</v>
      </c>
      <c r="D37" s="68"/>
      <c r="E37" s="68"/>
      <c r="F37" s="68"/>
      <c r="G37" s="69">
        <f>G36/G33</f>
        <v>0.29980550885761564</v>
      </c>
      <c r="H37" s="68"/>
      <c r="I37" s="68"/>
      <c r="J37" s="68"/>
      <c r="K37" s="69">
        <f>K36/K33</f>
        <v>0.29924236482564981</v>
      </c>
      <c r="L37" s="68"/>
      <c r="M37" s="187"/>
      <c r="N37" s="187"/>
      <c r="O37" s="67">
        <f>O36/O33</f>
        <v>0.29863908522868737</v>
      </c>
      <c r="P37" s="68"/>
      <c r="Q37" s="68"/>
      <c r="R37" s="68"/>
      <c r="S37" s="67">
        <f>S36/S33</f>
        <v>0.29893658436177162</v>
      </c>
      <c r="T37" s="68"/>
      <c r="U37" s="68"/>
      <c r="V37" s="68"/>
      <c r="W37" s="67">
        <f>W36/W33</f>
        <v>0.29991116994408934</v>
      </c>
      <c r="X37" s="68"/>
      <c r="Y37" s="68"/>
      <c r="Z37" s="68"/>
      <c r="AA37" s="67">
        <f>AA36/AA33</f>
        <v>0.29997823367465803</v>
      </c>
      <c r="AB37" s="68"/>
      <c r="AC37" s="68"/>
      <c r="AD37" s="68"/>
      <c r="AE37" s="67">
        <f>AE36/AE33</f>
        <v>0.30148988169909485</v>
      </c>
      <c r="AF37" s="68"/>
      <c r="AG37" s="68"/>
      <c r="AH37" s="68"/>
      <c r="AI37" s="69">
        <f>AI36/AI33</f>
        <v>0.3020617480491688</v>
      </c>
      <c r="AJ37" s="68"/>
      <c r="AK37" s="68"/>
      <c r="AL37" s="68"/>
      <c r="AM37" s="70">
        <f>AM36/AM33</f>
        <v>0.30175343767147406</v>
      </c>
      <c r="AN37" s="71"/>
      <c r="AO37" s="71"/>
      <c r="AP37" s="71"/>
      <c r="AQ37" s="70">
        <f>AQ36/AQ33</f>
        <v>0.30236437461432036</v>
      </c>
      <c r="AR37" s="71"/>
      <c r="AS37" s="71"/>
      <c r="AT37" s="71"/>
      <c r="AU37" s="70">
        <f>AU36/AU33</f>
        <v>0.30393148893111871</v>
      </c>
      <c r="AV37" s="71"/>
      <c r="AW37" s="71"/>
      <c r="AX37" s="71"/>
      <c r="AY37" s="70">
        <f>AY36/AY33</f>
        <v>0.30650769921209764</v>
      </c>
      <c r="AZ37" s="71"/>
      <c r="BA37" s="71"/>
      <c r="BB37" s="71"/>
      <c r="BC37" s="70">
        <f>BC36/BC33</f>
        <v>0.31068083543031239</v>
      </c>
      <c r="BD37" s="71"/>
      <c r="BE37" s="71"/>
      <c r="BF37" s="71"/>
      <c r="BG37" s="70">
        <f>BG36/BG33</f>
        <v>0.31280490887490203</v>
      </c>
      <c r="BH37" s="71"/>
      <c r="BI37" s="71"/>
      <c r="BJ37" s="71"/>
      <c r="BK37" s="70">
        <f>BK36/BK33</f>
        <v>0.31701690552214057</v>
      </c>
      <c r="BL37" s="71"/>
      <c r="BM37" s="71"/>
      <c r="BN37" s="71"/>
      <c r="BO37" s="70">
        <f>BO36/BO33</f>
        <v>0.32284167031866273</v>
      </c>
      <c r="BP37" s="71"/>
      <c r="BQ37" s="71"/>
      <c r="BR37" s="71"/>
      <c r="BS37" s="70">
        <f>BS36/BS33</f>
        <v>0.32983668697941343</v>
      </c>
      <c r="BT37" s="71"/>
      <c r="BU37" s="71"/>
      <c r="BV37" s="71"/>
      <c r="BW37" s="70">
        <f>BW36/BW33</f>
        <v>0.33415994329633969</v>
      </c>
      <c r="BX37" s="72"/>
      <c r="BY37" s="72"/>
      <c r="BZ37" s="72"/>
      <c r="CA37" s="70">
        <f>CA36/CA33</f>
        <v>0.34037374040150237</v>
      </c>
      <c r="CB37" s="73"/>
      <c r="CC37" s="73"/>
      <c r="CD37" s="73"/>
      <c r="CE37" s="70">
        <f>CE36/CE33</f>
        <v>0.34737728910963012</v>
      </c>
      <c r="CF37" s="73"/>
      <c r="CG37" s="73"/>
      <c r="CH37" s="73"/>
      <c r="CI37" s="70">
        <f>CI36/CI33</f>
        <v>0.36078611356281259</v>
      </c>
      <c r="CJ37" s="74"/>
      <c r="CK37" s="74"/>
      <c r="CL37" s="74"/>
      <c r="CM37" s="70">
        <f>CM36/CM33</f>
        <v>0.36793111473120782</v>
      </c>
      <c r="CN37" s="74"/>
      <c r="CO37" s="74"/>
      <c r="CP37" s="74"/>
      <c r="CQ37" s="75">
        <f>CQ36/CQ33</f>
        <v>0.37581506894943706</v>
      </c>
      <c r="CR37" s="68"/>
      <c r="CS37" s="68"/>
      <c r="CT37" s="68"/>
      <c r="CU37" s="76">
        <f>CU36/CU33</f>
        <v>0.39300366906515871</v>
      </c>
      <c r="CV37" s="68"/>
      <c r="CW37" s="68"/>
      <c r="CX37" s="68"/>
      <c r="CY37" s="75">
        <f>CY36/CY33</f>
        <v>0.39056905143676296</v>
      </c>
      <c r="CZ37" s="68"/>
      <c r="DA37" s="68"/>
      <c r="DB37" s="68"/>
      <c r="DC37" s="76">
        <f>DC36/DC33</f>
        <v>0.40293142344595145</v>
      </c>
      <c r="DD37" s="68"/>
      <c r="DE37" s="68"/>
      <c r="DF37" s="68"/>
      <c r="DG37" s="75">
        <f>DG36/DG33</f>
        <v>0.40216718379667449</v>
      </c>
      <c r="DH37" s="68"/>
      <c r="DI37" s="68"/>
      <c r="DJ37" s="68"/>
      <c r="DK37" s="77"/>
      <c r="DL37" s="75">
        <f>DL36/DL33</f>
        <v>0.40757715949762946</v>
      </c>
      <c r="DM37" s="68"/>
      <c r="DN37" s="68"/>
      <c r="DO37" s="68"/>
      <c r="DP37" s="75">
        <f>DP36/DP33</f>
        <v>0.41025787442041067</v>
      </c>
      <c r="DQ37" s="68"/>
      <c r="DR37" s="68"/>
      <c r="DS37" s="68"/>
      <c r="DT37" s="75">
        <f>DT36/DT33</f>
        <v>0.41545083342198075</v>
      </c>
      <c r="DU37" s="68"/>
      <c r="DV37" s="68"/>
      <c r="DW37" s="68"/>
      <c r="DX37" s="75">
        <f>DX36/DX33</f>
        <v>0.41925690520681225</v>
      </c>
      <c r="DY37" s="68"/>
      <c r="DZ37" s="68"/>
      <c r="EA37" s="68"/>
      <c r="EB37" s="75">
        <f>EB36/EB33</f>
        <v>0.42105160709506312</v>
      </c>
      <c r="EC37" s="68"/>
      <c r="ED37" s="68"/>
      <c r="EE37" s="68"/>
      <c r="EF37" s="76">
        <f>EF36/EF33</f>
        <v>0.42430998490879551</v>
      </c>
      <c r="EG37" s="68"/>
      <c r="EH37" s="68"/>
      <c r="EI37" s="68"/>
      <c r="EJ37" s="75">
        <f>EJ36/EJ33</f>
        <v>0.42360435434576071</v>
      </c>
      <c r="EK37" s="68"/>
      <c r="EL37" s="68"/>
      <c r="EM37" s="68"/>
      <c r="EN37" s="76">
        <f>EN36/EN33</f>
        <v>0.42460414281513736</v>
      </c>
      <c r="EO37" s="73"/>
      <c r="EP37" s="73"/>
      <c r="EQ37" s="73"/>
      <c r="ER37" s="76">
        <f>ER36/ER33</f>
        <v>0.4234822905417413</v>
      </c>
      <c r="ES37" s="73"/>
      <c r="ET37" s="73"/>
      <c r="EU37" s="73"/>
      <c r="EV37" s="75">
        <f>EV36/EV33</f>
        <v>0.41829743745031983</v>
      </c>
      <c r="EW37" s="73"/>
      <c r="EX37" s="73"/>
      <c r="EY37" s="73"/>
      <c r="EZ37" s="75">
        <f>EZ36/EZ33</f>
        <v>0.41916848503089127</v>
      </c>
      <c r="FA37" s="73"/>
      <c r="FB37" s="73"/>
      <c r="FC37" s="73"/>
      <c r="FD37" s="75">
        <f>FD36/FD33</f>
        <v>0.41983806401362145</v>
      </c>
      <c r="FE37" s="73"/>
      <c r="FF37" s="73"/>
      <c r="FG37" s="73"/>
      <c r="FH37" s="75">
        <f>FH36/FH33</f>
        <v>0.42858719093234365</v>
      </c>
      <c r="FI37" s="73"/>
      <c r="FJ37" s="73"/>
      <c r="FK37" s="73"/>
      <c r="FL37" s="75">
        <f>FL36/FL33</f>
        <v>0.43655649843680217</v>
      </c>
      <c r="FM37" s="73"/>
      <c r="FN37" s="73"/>
      <c r="FO37" s="73"/>
      <c r="FP37" s="75">
        <f>FP36/FP33</f>
        <v>0.44553267312331057</v>
      </c>
      <c r="FQ37" s="73"/>
      <c r="FR37" s="73"/>
      <c r="FS37" s="73"/>
      <c r="FT37" s="75">
        <f>FT36/FT33</f>
        <v>0.46199042102918242</v>
      </c>
      <c r="FU37" s="73"/>
      <c r="FV37" s="73"/>
      <c r="FW37" s="73"/>
      <c r="FX37" s="75">
        <f>FX36/FX33</f>
        <v>0.46370695740842421</v>
      </c>
      <c r="FY37" s="78"/>
    </row>
    <row r="38" spans="2:181" ht="15" thickBot="1" x14ac:dyDescent="0.25">
      <c r="DM38" s="79"/>
    </row>
    <row r="39" spans="2:181" x14ac:dyDescent="0.2">
      <c r="B39" s="80"/>
      <c r="C39" s="80">
        <v>44269</v>
      </c>
      <c r="D39" s="80">
        <v>44269</v>
      </c>
      <c r="E39" s="80">
        <v>44262</v>
      </c>
      <c r="F39" s="80">
        <v>44262</v>
      </c>
      <c r="G39" s="80">
        <v>44255</v>
      </c>
      <c r="H39" s="80">
        <v>44255</v>
      </c>
      <c r="I39" s="80">
        <v>44248</v>
      </c>
      <c r="J39" s="80">
        <v>44248</v>
      </c>
      <c r="K39" s="80">
        <v>44241</v>
      </c>
      <c r="L39" s="80">
        <v>44241</v>
      </c>
      <c r="M39" s="80">
        <v>44234</v>
      </c>
      <c r="N39" s="80">
        <v>44234</v>
      </c>
      <c r="O39" s="80">
        <v>44227</v>
      </c>
      <c r="P39" s="81">
        <v>44227</v>
      </c>
      <c r="Q39" s="82">
        <v>44220</v>
      </c>
      <c r="R39" s="82">
        <v>44220</v>
      </c>
      <c r="S39" s="82">
        <v>44213</v>
      </c>
      <c r="T39" s="82">
        <v>44213</v>
      </c>
      <c r="U39" s="82">
        <v>44206</v>
      </c>
      <c r="V39" s="82">
        <v>44206</v>
      </c>
      <c r="W39" s="82">
        <v>44199</v>
      </c>
      <c r="X39" s="82">
        <v>44199</v>
      </c>
      <c r="Y39" s="82">
        <v>44192</v>
      </c>
      <c r="Z39" s="82">
        <v>44192</v>
      </c>
      <c r="AA39" s="82">
        <v>44185</v>
      </c>
      <c r="AB39" s="82">
        <v>44185</v>
      </c>
      <c r="AC39" s="82">
        <v>44178</v>
      </c>
      <c r="AD39" s="82">
        <v>44178</v>
      </c>
      <c r="AE39" s="82">
        <v>44171</v>
      </c>
      <c r="AF39" s="82">
        <v>44171</v>
      </c>
      <c r="AG39" s="82">
        <v>44164</v>
      </c>
      <c r="AH39" s="82">
        <v>44164</v>
      </c>
      <c r="AI39" s="82">
        <v>44157</v>
      </c>
      <c r="AJ39" s="82">
        <v>44157</v>
      </c>
      <c r="AK39" s="82">
        <v>44150</v>
      </c>
      <c r="AL39" s="82">
        <v>44150</v>
      </c>
      <c r="AM39" s="82">
        <v>44143</v>
      </c>
      <c r="AN39" s="82">
        <v>44143</v>
      </c>
      <c r="AO39" s="82">
        <v>44136</v>
      </c>
      <c r="AP39" s="82">
        <v>44136</v>
      </c>
      <c r="AQ39" s="82">
        <v>44129</v>
      </c>
      <c r="AR39" s="82">
        <v>44129</v>
      </c>
      <c r="AS39" s="82">
        <v>44122</v>
      </c>
      <c r="AT39" s="82">
        <v>44122</v>
      </c>
      <c r="AU39" s="82">
        <v>44115</v>
      </c>
      <c r="AV39" s="82">
        <v>44115</v>
      </c>
      <c r="AW39" s="82">
        <v>44108</v>
      </c>
      <c r="AX39" s="82">
        <v>44108</v>
      </c>
      <c r="AY39" s="82" t="s">
        <v>41</v>
      </c>
      <c r="AZ39" s="82" t="s">
        <v>41</v>
      </c>
      <c r="BA39" s="82" t="s">
        <v>40</v>
      </c>
      <c r="BB39" s="82" t="s">
        <v>40</v>
      </c>
      <c r="BC39" s="82" t="s">
        <v>39</v>
      </c>
      <c r="BD39" s="82" t="s">
        <v>39</v>
      </c>
      <c r="BE39" s="82" t="s">
        <v>37</v>
      </c>
      <c r="BF39" s="83" t="s">
        <v>37</v>
      </c>
      <c r="BG39" s="84"/>
      <c r="BH39" s="85">
        <v>44073</v>
      </c>
      <c r="BI39" s="85">
        <v>44073</v>
      </c>
      <c r="BJ39" s="85">
        <v>44066</v>
      </c>
      <c r="BK39" s="85">
        <v>44066</v>
      </c>
      <c r="BL39" s="85">
        <v>44059</v>
      </c>
      <c r="BM39" s="85">
        <v>44059</v>
      </c>
      <c r="BN39" s="85">
        <v>44052</v>
      </c>
      <c r="BO39" s="85">
        <v>44052</v>
      </c>
      <c r="BP39" s="85">
        <v>44045</v>
      </c>
      <c r="BQ39" s="85">
        <v>44045</v>
      </c>
      <c r="BR39" s="85">
        <v>44038</v>
      </c>
      <c r="BS39" s="85">
        <v>44038</v>
      </c>
      <c r="BT39" s="85">
        <v>44031</v>
      </c>
      <c r="BU39" s="85">
        <v>44031</v>
      </c>
      <c r="BV39" s="85">
        <v>44024</v>
      </c>
      <c r="BW39" s="85">
        <v>44024</v>
      </c>
      <c r="BX39" s="85">
        <v>44017</v>
      </c>
      <c r="BY39" s="85">
        <v>44017</v>
      </c>
      <c r="BZ39" s="85">
        <v>44010</v>
      </c>
      <c r="CA39" s="85">
        <v>44010</v>
      </c>
      <c r="CB39" s="85">
        <v>44002</v>
      </c>
      <c r="CC39" s="85">
        <v>44002</v>
      </c>
      <c r="CD39" s="85">
        <v>43995</v>
      </c>
      <c r="CE39" s="85">
        <v>43995</v>
      </c>
      <c r="CF39" s="85">
        <v>43988</v>
      </c>
      <c r="CG39" s="85">
        <v>43988</v>
      </c>
      <c r="CH39" s="85">
        <v>43982</v>
      </c>
      <c r="CI39" s="85">
        <v>43982</v>
      </c>
      <c r="CJ39" s="85">
        <v>43975</v>
      </c>
      <c r="CK39" s="85">
        <v>43975</v>
      </c>
      <c r="CL39" s="85">
        <v>43968</v>
      </c>
      <c r="CM39" s="85">
        <v>43968</v>
      </c>
      <c r="CN39" s="83">
        <v>43961</v>
      </c>
      <c r="CO39" s="86"/>
      <c r="CP39" s="9"/>
      <c r="CQ39" s="10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</row>
    <row r="40" spans="2:181" x14ac:dyDescent="0.2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89"/>
      <c r="BF40" s="22"/>
      <c r="BG40" s="61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 t="s">
        <v>27</v>
      </c>
      <c r="BY40" s="20" t="s">
        <v>23</v>
      </c>
      <c r="BZ40" s="19" t="s">
        <v>27</v>
      </c>
      <c r="CA40" s="20" t="s">
        <v>23</v>
      </c>
      <c r="CB40" s="19" t="s">
        <v>27</v>
      </c>
      <c r="CC40" s="20" t="s">
        <v>23</v>
      </c>
      <c r="CD40" s="19" t="s">
        <v>27</v>
      </c>
      <c r="CE40" s="20" t="s">
        <v>23</v>
      </c>
      <c r="CF40" s="19" t="s">
        <v>27</v>
      </c>
      <c r="CG40" s="20" t="s">
        <v>23</v>
      </c>
      <c r="CH40" s="19" t="s">
        <v>27</v>
      </c>
      <c r="CI40" s="20" t="s">
        <v>23</v>
      </c>
      <c r="CJ40" s="19" t="s">
        <v>27</v>
      </c>
      <c r="CK40" s="20" t="s">
        <v>23</v>
      </c>
      <c r="CL40" s="19" t="s">
        <v>27</v>
      </c>
      <c r="CM40" s="20" t="s">
        <v>23</v>
      </c>
      <c r="CN40" s="22" t="s">
        <v>27</v>
      </c>
      <c r="CO40" s="6"/>
      <c r="CQ40" s="6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1"/>
    </row>
    <row r="41" spans="2:181" x14ac:dyDescent="0.2">
      <c r="B41" s="90" t="s">
        <v>1</v>
      </c>
      <c r="C41" s="9">
        <v>18122</v>
      </c>
      <c r="D41" s="31">
        <f>SUM(C41/E41)-100%</f>
        <v>1.8891262790959207E-2</v>
      </c>
      <c r="E41" s="9">
        <v>17786</v>
      </c>
      <c r="F41" s="33">
        <f>SUM(E41/G41)-100%</f>
        <v>2.4126216387401422E-2</v>
      </c>
      <c r="G41" s="9">
        <v>17367</v>
      </c>
      <c r="H41" s="30">
        <f>SUM(G41/I41)-100%</f>
        <v>1.7697040726633473E-2</v>
      </c>
      <c r="I41" s="1">
        <v>17065</v>
      </c>
      <c r="J41" s="31">
        <f>SUM(I41/K41)-100%</f>
        <v>2.0572932240894737E-2</v>
      </c>
      <c r="K41" s="9">
        <v>16721</v>
      </c>
      <c r="L41" s="33">
        <f>SUM(K41/M41)-100%</f>
        <v>2.3630241812059971E-2</v>
      </c>
      <c r="M41" s="25">
        <v>16335</v>
      </c>
      <c r="N41" s="31">
        <f>SUM(M41/O41)-100%</f>
        <v>2.1065133141642711E-2</v>
      </c>
      <c r="O41" s="9">
        <v>15998</v>
      </c>
      <c r="P41" s="32">
        <f>SUM(O41/Q41)-100%</f>
        <v>4.3098389515550561E-2</v>
      </c>
      <c r="Q41" s="9">
        <v>15337</v>
      </c>
      <c r="R41" s="32">
        <f>SUM(Q41/S41)-100%</f>
        <v>4.0713849494469656E-2</v>
      </c>
      <c r="S41" s="9">
        <v>14737</v>
      </c>
      <c r="T41" s="32">
        <f>SUM(S41/U41)-100%</f>
        <v>4.0454673820954579E-2</v>
      </c>
      <c r="U41" s="1">
        <v>14164</v>
      </c>
      <c r="V41" s="32">
        <f>SUM(U41/W41)-100%</f>
        <v>2.8687631636284516E-2</v>
      </c>
      <c r="W41" s="44">
        <v>13769</v>
      </c>
      <c r="X41" s="33">
        <f>SUM(W41/Y41)-100%</f>
        <v>2.8227914270778864E-2</v>
      </c>
      <c r="Y41" s="44">
        <v>13391</v>
      </c>
      <c r="Z41" s="31">
        <f>SUM(Y41/AA41)-100%</f>
        <v>2.1745765298336606E-2</v>
      </c>
      <c r="AA41" s="44">
        <v>13106</v>
      </c>
      <c r="AB41" s="33">
        <f>SUM(AA41/AC41)-100%</f>
        <v>3.5638087712366762E-2</v>
      </c>
      <c r="AC41" s="44">
        <v>12655</v>
      </c>
      <c r="AD41" s="30">
        <f>SUM(AC41/AE41)-100%</f>
        <v>3.1293293130144173E-2</v>
      </c>
      <c r="AE41" s="44">
        <v>12271</v>
      </c>
      <c r="AF41" s="31">
        <f>SUM(AE41/AG41)-100%</f>
        <v>3.6139491682850577E-2</v>
      </c>
      <c r="AG41" s="44">
        <v>11843</v>
      </c>
      <c r="AH41" s="32">
        <f>SUM(AG41/AI41)-100%</f>
        <v>4.0411139418430997E-2</v>
      </c>
      <c r="AI41" s="44">
        <v>11383</v>
      </c>
      <c r="AJ41" s="33">
        <f>SUM(AI41/AK41)-100%</f>
        <v>2.5680302757253637E-2</v>
      </c>
      <c r="AK41" s="44">
        <v>11098</v>
      </c>
      <c r="AL41" s="30">
        <f>SUM(AK41/AM41)-100%</f>
        <v>1.975558210052375E-2</v>
      </c>
      <c r="AM41" s="44">
        <v>10883</v>
      </c>
      <c r="AN41" s="30">
        <f>SUM(AM41/AO41)-100%</f>
        <v>2.1110902608369342E-2</v>
      </c>
      <c r="AO41" s="9">
        <v>10658</v>
      </c>
      <c r="AP41" s="30">
        <f>SUM(AO41/AQ41)-100%</f>
        <v>2.4610651797731142E-2</v>
      </c>
      <c r="AQ41" s="9">
        <v>10402</v>
      </c>
      <c r="AR41" s="31">
        <f>SUM(AQ41/AS41)-100%</f>
        <v>4.0512153646093729E-2</v>
      </c>
      <c r="AS41" s="9">
        <v>9997</v>
      </c>
      <c r="AT41" s="33">
        <f>SUM(AS41/AU41)-100%</f>
        <v>4.4073107049608318E-2</v>
      </c>
      <c r="AU41" s="9">
        <v>9575</v>
      </c>
      <c r="AV41" s="30">
        <f>SUM(AU41/AW41)-100%</f>
        <v>3.1122119319405561E-2</v>
      </c>
      <c r="AW41" s="9">
        <v>9286</v>
      </c>
      <c r="AX41" s="30">
        <f>SUM(AW41/AY41)-100%</f>
        <v>5.3431650595575642E-2</v>
      </c>
      <c r="AY41" s="9">
        <v>8815</v>
      </c>
      <c r="AZ41" s="31">
        <f>SUM(AY41/BA41)-100%</f>
        <v>9.0155824882512947E-2</v>
      </c>
      <c r="BA41" s="9">
        <v>8086</v>
      </c>
      <c r="BB41" s="33">
        <f>SUM(BA41/BC41)-100%</f>
        <v>0.13567415730337085</v>
      </c>
      <c r="BC41" s="9">
        <v>7120</v>
      </c>
      <c r="BD41" s="31">
        <f>SUM(BC41/BE41)-100%</f>
        <v>0.10336277700294438</v>
      </c>
      <c r="BE41" s="91">
        <f>DG7</f>
        <v>6453</v>
      </c>
      <c r="BF41" s="32">
        <f>SUM(BE41/BH41)-100%</f>
        <v>0.18316831683168311</v>
      </c>
      <c r="BG41" s="34"/>
      <c r="BH41" s="9">
        <v>5454</v>
      </c>
      <c r="BI41" s="32">
        <f>DM7</f>
        <v>0.14172074523759681</v>
      </c>
      <c r="BJ41" s="9">
        <v>4777</v>
      </c>
      <c r="BK41" s="33">
        <f>DQ7</f>
        <v>9.9171652093879459E-2</v>
      </c>
      <c r="BL41" s="9">
        <v>4346</v>
      </c>
      <c r="BM41" s="31">
        <f>DU7</f>
        <v>8.4331337325349365E-2</v>
      </c>
      <c r="BN41" s="9">
        <v>4008</v>
      </c>
      <c r="BO41" s="32">
        <f>DY7</f>
        <v>0.15537618910348794</v>
      </c>
      <c r="BP41" s="9">
        <v>3469</v>
      </c>
      <c r="BQ41" s="36">
        <f>EC7</f>
        <v>0.15134417524062393</v>
      </c>
      <c r="BR41" s="9">
        <v>3013</v>
      </c>
      <c r="BS41" s="35">
        <f>EG7</f>
        <v>0.13655224443606184</v>
      </c>
      <c r="BT41" s="9">
        <f>EJ7</f>
        <v>2651</v>
      </c>
      <c r="BU41" s="32">
        <f>EK7</f>
        <v>0.17197170645446502</v>
      </c>
      <c r="BV41" s="9">
        <f>EN7</f>
        <v>2262</v>
      </c>
      <c r="BW41" s="36">
        <f>EO7</f>
        <v>0.1689922480620154</v>
      </c>
      <c r="BX41" s="9">
        <f>ER7</f>
        <v>1935</v>
      </c>
      <c r="BY41" s="35">
        <f>ES7</f>
        <v>0.15384615384615374</v>
      </c>
      <c r="BZ41" s="1">
        <v>1677</v>
      </c>
      <c r="CA41" s="36">
        <f>EW7</f>
        <v>0.21963636363636363</v>
      </c>
      <c r="CB41" s="1">
        <f>EZ7</f>
        <v>1375</v>
      </c>
      <c r="CC41" s="35">
        <f>FA7</f>
        <v>0.10088070456365084</v>
      </c>
      <c r="CD41" s="8">
        <f>FD7</f>
        <v>1249</v>
      </c>
      <c r="CE41" s="32">
        <f>FE7</f>
        <v>0.23054187192118225</v>
      </c>
      <c r="CF41" s="9">
        <v>1015</v>
      </c>
      <c r="CG41" s="36">
        <f>FI7</f>
        <v>0.16800920598388958</v>
      </c>
      <c r="CH41" s="9">
        <f>FL7</f>
        <v>869</v>
      </c>
      <c r="CI41" s="30">
        <f>FM7</f>
        <v>9.0338770388958656E-2</v>
      </c>
      <c r="CJ41" s="9">
        <f>FP7</f>
        <v>797</v>
      </c>
      <c r="CK41" s="35">
        <f>FQ7</f>
        <v>0.15007215007215002</v>
      </c>
      <c r="CL41" s="9">
        <f>FT7</f>
        <v>693</v>
      </c>
      <c r="CM41" s="36">
        <f>FU7</f>
        <v>0.21792618629173988</v>
      </c>
      <c r="CN41" s="11">
        <f>FX7</f>
        <v>569</v>
      </c>
      <c r="CO41" s="6"/>
      <c r="CQ41" s="6"/>
      <c r="CS41" s="10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1"/>
    </row>
    <row r="42" spans="2:181" x14ac:dyDescent="0.2">
      <c r="B42" s="90" t="s">
        <v>32</v>
      </c>
      <c r="C42" s="9">
        <v>14364</v>
      </c>
      <c r="D42" s="31">
        <f>SUM(C42/E42)-100%</f>
        <v>1.894020004256225E-2</v>
      </c>
      <c r="E42" s="9">
        <v>14097</v>
      </c>
      <c r="F42" s="33">
        <f>SUM(E42/G42)-100%</f>
        <v>2.5683934807916087E-2</v>
      </c>
      <c r="G42" s="9">
        <v>13744</v>
      </c>
      <c r="H42" s="30">
        <f>SUM(G42/I42)-100%</f>
        <v>1.5516477020836472E-2</v>
      </c>
      <c r="I42" s="9">
        <v>13534</v>
      </c>
      <c r="J42" s="31">
        <f>SUM(I42/K42)-100%</f>
        <v>1.9280012050007622E-2</v>
      </c>
      <c r="K42" s="9">
        <v>13278</v>
      </c>
      <c r="L42" s="33">
        <f>SUM(K42/M42)-100%</f>
        <v>2.2170900692840556E-2</v>
      </c>
      <c r="M42" s="9">
        <v>12990</v>
      </c>
      <c r="N42" s="31">
        <f>SUM(M42/O42)-100%</f>
        <v>1.9463192591429923E-2</v>
      </c>
      <c r="O42" s="9">
        <v>12742</v>
      </c>
      <c r="P42" s="32">
        <f>SUM(O42/Q42)-100%</f>
        <v>4.0672982685396875E-2</v>
      </c>
      <c r="Q42" s="9">
        <v>12244</v>
      </c>
      <c r="R42" s="32">
        <f>SUM(Q42/S42)-100%</f>
        <v>3.9300568712333339E-2</v>
      </c>
      <c r="S42" s="9">
        <v>11781</v>
      </c>
      <c r="T42" s="32">
        <f>SUM(S42/U42)-100%</f>
        <v>3.8065027755749492E-2</v>
      </c>
      <c r="U42" s="9">
        <v>11349</v>
      </c>
      <c r="V42" s="31">
        <f>SUM(U42/W42)-100%</f>
        <v>2.5666516041572551E-2</v>
      </c>
      <c r="W42" s="92">
        <v>11065</v>
      </c>
      <c r="X42" s="33">
        <f>SUM(W42/Y42)-100%</f>
        <v>2.9973005678116005E-2</v>
      </c>
      <c r="Y42" s="92">
        <v>10743</v>
      </c>
      <c r="Z42" s="31">
        <f>SUM(Y42/AA42)-100%</f>
        <v>2.470431133155282E-2</v>
      </c>
      <c r="AA42" s="92">
        <v>10484</v>
      </c>
      <c r="AB42" s="33">
        <f>SUM(AA42/AC42)-100%</f>
        <v>3.9254559873116657E-2</v>
      </c>
      <c r="AC42" s="92">
        <v>10088</v>
      </c>
      <c r="AD42" s="30">
        <f>SUM(AC42/AE42)-100%</f>
        <v>3.3818405410944941E-2</v>
      </c>
      <c r="AE42" s="92">
        <v>9758</v>
      </c>
      <c r="AF42" s="31">
        <f>SUM(AE42/AG42)-100%</f>
        <v>3.9965895768943938E-2</v>
      </c>
      <c r="AG42" s="92">
        <v>9383</v>
      </c>
      <c r="AH42" s="32">
        <f>SUM(AG42/AI42)-100%</f>
        <v>4.2208152837942992E-2</v>
      </c>
      <c r="AI42" s="92">
        <v>9003</v>
      </c>
      <c r="AJ42" s="33">
        <f>SUM(AI42/AK42)-100%</f>
        <v>2.5749117010368083E-2</v>
      </c>
      <c r="AK42" s="92">
        <v>8777</v>
      </c>
      <c r="AL42" s="31">
        <f>SUM(AK42/AM42)-100%</f>
        <v>1.7505216786459554E-2</v>
      </c>
      <c r="AM42" s="92">
        <v>8626</v>
      </c>
      <c r="AN42" s="33">
        <f>SUM(AM42/AO42)-100%</f>
        <v>2.2764998814323034E-2</v>
      </c>
      <c r="AO42" s="9">
        <v>8434</v>
      </c>
      <c r="AP42" s="31">
        <f>SUM(AO42/AQ42)-100%</f>
        <v>1.8599033816425026E-2</v>
      </c>
      <c r="AQ42" s="9">
        <v>8280</v>
      </c>
      <c r="AR42" s="31">
        <f>SUM(AQ42/AS42)-100%</f>
        <v>4.1640457919235097E-2</v>
      </c>
      <c r="AS42" s="9">
        <v>7949</v>
      </c>
      <c r="AT42" s="33">
        <f>SUM(AS42/AU42)-100%</f>
        <v>4.3312770704816872E-2</v>
      </c>
      <c r="AU42" s="9">
        <v>7619</v>
      </c>
      <c r="AV42" s="30">
        <f>SUM(AU42/AW42)-100%</f>
        <v>2.7927684835401978E-2</v>
      </c>
      <c r="AW42" s="9">
        <v>7412</v>
      </c>
      <c r="AX42" s="30">
        <f>SUM(AW42/AY42)-100%</f>
        <v>4.9412430978337918E-2</v>
      </c>
      <c r="AY42" s="9">
        <v>7063</v>
      </c>
      <c r="AZ42" s="31">
        <f>SUM(AY42/BA42)-100%</f>
        <v>8.6281144263303577E-2</v>
      </c>
      <c r="BA42" s="9">
        <v>6502</v>
      </c>
      <c r="BB42" s="33">
        <f>SUM(BA42/BC42)-100%</f>
        <v>0.13572052401746726</v>
      </c>
      <c r="BC42" s="9">
        <v>5725</v>
      </c>
      <c r="BD42" s="31">
        <f>SUM(BC42/BE42)-100%</f>
        <v>9.1723874904652947E-2</v>
      </c>
      <c r="BE42" s="93">
        <v>5244</v>
      </c>
      <c r="BF42" s="32">
        <f>SUM(BE42/BH42)-100%</f>
        <v>0.17975253093363319</v>
      </c>
      <c r="BG42" s="34"/>
      <c r="BH42" s="9">
        <v>4445</v>
      </c>
      <c r="BI42" s="32">
        <f>SUM(BH42/BJ42)-100%</f>
        <v>0.1447334535153233</v>
      </c>
      <c r="BJ42" s="9">
        <v>3883</v>
      </c>
      <c r="BK42" s="33">
        <f>SUM(BJ42/BL42)-100%</f>
        <v>9.6582886190341721E-2</v>
      </c>
      <c r="BL42" s="9">
        <v>3541</v>
      </c>
      <c r="BM42" s="31">
        <f>SUM(BL42/BN42)-100%</f>
        <v>6.4002403846153744E-2</v>
      </c>
      <c r="BN42" s="9">
        <v>3328</v>
      </c>
      <c r="BO42" s="32">
        <f>SUM(BN42/BP42)-100%</f>
        <v>0.14364261168384873</v>
      </c>
      <c r="BP42" s="9">
        <v>2910</v>
      </c>
      <c r="BQ42" s="36">
        <f>SUM(BP42/BR42)-100%</f>
        <v>0.13141524105754288</v>
      </c>
      <c r="BR42" s="9">
        <v>2572</v>
      </c>
      <c r="BS42" s="35">
        <f>SUM(BR42/BT42)-100%</f>
        <v>0.12069716775599137</v>
      </c>
      <c r="BT42" s="9">
        <v>2295</v>
      </c>
      <c r="BU42" s="32">
        <f>SUM(BT42/BV42)-100%</f>
        <v>0.17151607963246551</v>
      </c>
      <c r="BV42" s="9">
        <v>1959</v>
      </c>
      <c r="BW42" s="36">
        <f>SUM(BV42/BX42)-100%</f>
        <v>0.16192170818505347</v>
      </c>
      <c r="BX42" s="9">
        <v>1686</v>
      </c>
      <c r="BY42" s="35">
        <f>SUM(BX42/BZ42)-100%</f>
        <v>0.14771953710006813</v>
      </c>
      <c r="BZ42" s="9">
        <v>1469</v>
      </c>
      <c r="CA42" s="36">
        <f>SUM(BZ42/CB42)-100%</f>
        <v>0.22314737718567867</v>
      </c>
      <c r="CB42" s="9">
        <v>1201</v>
      </c>
      <c r="CC42" s="35">
        <f>SUM(CB42/CD42)-100%</f>
        <v>0.10589318600368314</v>
      </c>
      <c r="CD42" s="8">
        <v>1086</v>
      </c>
      <c r="CE42" s="32">
        <f>SUM(CD42/CF42)-100%</f>
        <v>0.24541284403669716</v>
      </c>
      <c r="CF42" s="9">
        <v>872</v>
      </c>
      <c r="CG42" s="36">
        <f>SUM(CF42/CH42)-100%</f>
        <v>0.17837837837837833</v>
      </c>
      <c r="CH42" s="9">
        <v>740</v>
      </c>
      <c r="CI42" s="30">
        <f>SUM(CH42/CJ42)-100%</f>
        <v>8.9837997054491803E-2</v>
      </c>
      <c r="CJ42" s="9">
        <v>679</v>
      </c>
      <c r="CK42" s="35">
        <f>SUM(CJ42/CL42)-100%</f>
        <v>0.12790697674418605</v>
      </c>
      <c r="CL42" s="9">
        <v>602</v>
      </c>
      <c r="CM42" s="36">
        <f>SUM(CL42/CN42)-100%</f>
        <v>0.22109533468559839</v>
      </c>
      <c r="CN42" s="11">
        <v>493</v>
      </c>
      <c r="CO42" s="6"/>
      <c r="CQ42" s="6"/>
      <c r="CS42" s="10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1"/>
    </row>
    <row r="43" spans="2:181" s="9" customFormat="1" ht="15" thickBot="1" x14ac:dyDescent="0.25">
      <c r="B43" s="94" t="s">
        <v>36</v>
      </c>
      <c r="C43" s="3">
        <v>518</v>
      </c>
      <c r="D43" s="69">
        <f>SUM(C43/E43)-100%</f>
        <v>3.6000000000000032E-2</v>
      </c>
      <c r="E43" s="3">
        <v>500</v>
      </c>
      <c r="F43" s="67">
        <f>SUM(E43/G43)-100%</f>
        <v>1.6260162601626105E-2</v>
      </c>
      <c r="G43" s="3">
        <v>492</v>
      </c>
      <c r="H43" s="67">
        <f>SUM(G43/I43)-100%</f>
        <v>2.2869022869022926E-2</v>
      </c>
      <c r="I43" s="3">
        <v>481</v>
      </c>
      <c r="J43" s="96">
        <f>SUM(I43/K43)-100%</f>
        <v>4.7930283224400849E-2</v>
      </c>
      <c r="K43" s="3">
        <v>459</v>
      </c>
      <c r="L43" s="69">
        <f>SUM(K43/M43)-100%</f>
        <v>4.081632653061229E-2</v>
      </c>
      <c r="M43" s="3">
        <v>441</v>
      </c>
      <c r="N43" s="67">
        <f>SUM(M43/O43)-100%</f>
        <v>3.0373831775700966E-2</v>
      </c>
      <c r="O43" s="3">
        <v>428</v>
      </c>
      <c r="P43" s="67">
        <f>SUM(O43/Q43)-100%</f>
        <v>5.9405940594059459E-2</v>
      </c>
      <c r="Q43" s="3">
        <v>404</v>
      </c>
      <c r="R43" s="67">
        <f>SUM(Q43/S43)-100%</f>
        <v>9.7826086956521729E-2</v>
      </c>
      <c r="S43" s="95">
        <v>368</v>
      </c>
      <c r="T43" s="96">
        <f>SUM(S43/U43)-100%</f>
        <v>0.10843373493975905</v>
      </c>
      <c r="U43" s="95">
        <v>332</v>
      </c>
      <c r="V43" s="96">
        <f>SUM(U43/W43)-100%</f>
        <v>8.4967320261437829E-2</v>
      </c>
      <c r="W43" s="97">
        <v>306</v>
      </c>
      <c r="X43" s="69">
        <f>SUM(W43/Y43)-100%</f>
        <v>2.3411371237458178E-2</v>
      </c>
      <c r="Y43" s="97">
        <v>299</v>
      </c>
      <c r="Z43" s="67">
        <f>SUM(Y43/AA43)-100%</f>
        <v>3.3557046979866278E-3</v>
      </c>
      <c r="AA43" s="97">
        <v>298</v>
      </c>
      <c r="AB43" s="69">
        <f>SUM(AA43/AC43)-100%</f>
        <v>2.0547945205479534E-2</v>
      </c>
      <c r="AC43" s="97">
        <v>292</v>
      </c>
      <c r="AD43" s="70">
        <f>SUM(AC43/AE43)-100%</f>
        <v>6.8965517241379448E-3</v>
      </c>
      <c r="AE43" s="97">
        <v>290</v>
      </c>
      <c r="AF43" s="67">
        <f>SUM(AE43/AG43)-100%</f>
        <v>1.0452961672473782E-2</v>
      </c>
      <c r="AG43" s="97">
        <v>287</v>
      </c>
      <c r="AH43" s="69">
        <f>SUM(AG43/AI43)-100%</f>
        <v>6.2962962962962887E-2</v>
      </c>
      <c r="AI43" s="97">
        <v>270</v>
      </c>
      <c r="AJ43" s="67">
        <f>SUM(AI43/AK43)-100%</f>
        <v>5.058365758754868E-2</v>
      </c>
      <c r="AK43" s="97">
        <v>257</v>
      </c>
      <c r="AL43" s="69">
        <f>SUM(AK43/AM43)-100%</f>
        <v>5.3278688524590168E-2</v>
      </c>
      <c r="AM43" s="97">
        <v>244</v>
      </c>
      <c r="AN43" s="67">
        <f>SUM(AM43/AO43)-100%</f>
        <v>1.2448132780082943E-2</v>
      </c>
      <c r="AO43" s="3">
        <v>241</v>
      </c>
      <c r="AP43" s="69">
        <f>SUM(AO43/AQ43)-100%</f>
        <v>6.6371681415929196E-2</v>
      </c>
      <c r="AQ43" s="3">
        <v>226</v>
      </c>
      <c r="AR43" s="67">
        <f>SUM(AQ43/AS43)-100%</f>
        <v>6.60377358490567E-2</v>
      </c>
      <c r="AS43" s="3">
        <v>212</v>
      </c>
      <c r="AT43" s="69">
        <f>SUM(AS43/AU43)-100%</f>
        <v>0.12169312169312163</v>
      </c>
      <c r="AU43" s="3">
        <v>189</v>
      </c>
      <c r="AV43" s="70">
        <f>SUM(AU43/AW43)-100%</f>
        <v>1.6129032258064502E-2</v>
      </c>
      <c r="AW43" s="3">
        <v>186</v>
      </c>
      <c r="AX43" s="67">
        <f>SUM(AW43/AY43)-100%</f>
        <v>0.12048192771084332</v>
      </c>
      <c r="AY43" s="3">
        <v>166</v>
      </c>
      <c r="AZ43" s="69">
        <f>SUM(AY43/BA43)-100%</f>
        <v>0.16901408450704225</v>
      </c>
      <c r="BA43" s="3">
        <v>142</v>
      </c>
      <c r="BB43" s="67">
        <f>SUM(BA43/BC43)-100%</f>
        <v>7.575757575757569E-2</v>
      </c>
      <c r="BC43" s="3">
        <v>132</v>
      </c>
      <c r="BD43" s="67">
        <f>SUM(BC43/BE43)-100%</f>
        <v>9.0909090909090828E-2</v>
      </c>
      <c r="BE43" s="4">
        <v>121</v>
      </c>
      <c r="BF43" s="98">
        <f>SUM(BE43/BH43)-100%</f>
        <v>0.12037037037037046</v>
      </c>
      <c r="BG43" s="77"/>
      <c r="BH43" s="3">
        <v>108</v>
      </c>
      <c r="BI43" s="69">
        <f>SUM(BH43/BJ43)-100%</f>
        <v>0.1020408163265305</v>
      </c>
      <c r="BJ43" s="3">
        <v>98</v>
      </c>
      <c r="BK43" s="67">
        <f>SUM(BJ43/BL43)-100%</f>
        <v>6.5217391304347894E-2</v>
      </c>
      <c r="BL43" s="3">
        <v>92</v>
      </c>
      <c r="BM43" s="69">
        <f>SUM(BL43/BN43)-100%</f>
        <v>0.12195121951219523</v>
      </c>
      <c r="BN43" s="3">
        <v>82</v>
      </c>
      <c r="BO43" s="70">
        <f>SUM(BN43/BP43)-100%</f>
        <v>2.4999999999999911E-2</v>
      </c>
      <c r="BP43" s="3">
        <v>80</v>
      </c>
      <c r="BQ43" s="75">
        <f>SUM(BP43/BR43)-100%</f>
        <v>8.1081081081081141E-2</v>
      </c>
      <c r="BR43" s="3">
        <v>74</v>
      </c>
      <c r="BS43" s="76">
        <f>SUM(BR43/BT43)-100%</f>
        <v>0.51020408163265296</v>
      </c>
      <c r="BT43" s="3">
        <v>49</v>
      </c>
      <c r="BU43" s="70">
        <f>SUM(BT43/BV43)-100%</f>
        <v>0.22500000000000009</v>
      </c>
      <c r="BV43" s="3">
        <v>40</v>
      </c>
      <c r="BW43" s="75">
        <f>SUM(BV43/BX43)-100%</f>
        <v>0.33333333333333326</v>
      </c>
      <c r="BX43" s="3">
        <v>30</v>
      </c>
      <c r="BY43" s="96">
        <f>SUM(BX43/BZ43)-100%</f>
        <v>0.66666666666666674</v>
      </c>
      <c r="BZ43" s="3">
        <v>18</v>
      </c>
      <c r="CA43" s="76">
        <f>SUM(BZ43/CB43)-100%</f>
        <v>5.8823529411764719E-2</v>
      </c>
      <c r="CB43" s="3">
        <v>17</v>
      </c>
      <c r="CC43" s="75">
        <f>SUM(CB43/CD43)-100%</f>
        <v>0</v>
      </c>
      <c r="CD43" s="95">
        <v>17</v>
      </c>
      <c r="CE43" s="69">
        <f>SUM(CD43/CF43)-100%</f>
        <v>0.21428571428571419</v>
      </c>
      <c r="CF43" s="3">
        <v>14</v>
      </c>
      <c r="CG43" s="70">
        <f>SUM(CF43/CH43)-100%</f>
        <v>0</v>
      </c>
      <c r="CH43" s="3">
        <v>14</v>
      </c>
      <c r="CI43" s="75">
        <f>SUM(CH43/CJ43)-100%</f>
        <v>7.6923076923076872E-2</v>
      </c>
      <c r="CJ43" s="3">
        <v>13</v>
      </c>
      <c r="CK43" s="76">
        <f>SUM(CJ43/CL43)-100%</f>
        <v>0.18181818181818188</v>
      </c>
      <c r="CL43" s="3">
        <v>11</v>
      </c>
      <c r="CM43" s="76">
        <f>SUM(CL43/CN43)-100%</f>
        <v>0.10000000000000009</v>
      </c>
      <c r="CN43" s="99">
        <v>10</v>
      </c>
      <c r="CO43" s="10"/>
      <c r="CQ43" s="10"/>
      <c r="CS43" s="10"/>
    </row>
    <row r="44" spans="2:181" s="8" customFormat="1" ht="15" thickBot="1" x14ac:dyDescent="0.25">
      <c r="F44" s="49"/>
      <c r="H44" s="49"/>
      <c r="I44" s="37"/>
      <c r="J44" s="100"/>
      <c r="K44" s="37"/>
      <c r="L44" s="100"/>
      <c r="M44" s="37"/>
      <c r="N44" s="100"/>
      <c r="O44" s="37"/>
      <c r="P44" s="101"/>
      <c r="Q44" s="37"/>
      <c r="R44" s="100"/>
      <c r="S44" s="37"/>
      <c r="T44" s="100"/>
      <c r="U44" s="37"/>
      <c r="V44" s="100"/>
      <c r="W44" s="37"/>
      <c r="X44" s="100"/>
      <c r="Y44" s="37"/>
      <c r="Z44" s="100"/>
      <c r="AB44" s="100"/>
      <c r="AD44" s="100"/>
      <c r="AF44" s="100"/>
      <c r="AH44" s="101"/>
      <c r="AJ44" s="100"/>
      <c r="AL44" s="100"/>
      <c r="AN44" s="100"/>
      <c r="AP44" s="100"/>
      <c r="AQ44" s="25"/>
      <c r="AR44" s="49"/>
      <c r="AS44" s="51"/>
      <c r="AU44" s="100"/>
      <c r="AW44" s="100"/>
      <c r="AY44" s="100"/>
      <c r="BA44" s="101"/>
      <c r="BC44" s="51"/>
      <c r="BE44" s="51"/>
      <c r="BG44" s="101"/>
      <c r="BI44" s="51"/>
      <c r="BK44" s="49"/>
      <c r="BM44" s="51"/>
      <c r="BO44" s="51"/>
      <c r="BQ44" s="100"/>
      <c r="BS44" s="101"/>
      <c r="BU44" s="51"/>
      <c r="BW44" s="51"/>
      <c r="BY44" s="51"/>
      <c r="CA44" s="51"/>
      <c r="CC44" s="51"/>
      <c r="CE44" s="51"/>
    </row>
    <row r="45" spans="2:181" ht="15" thickBot="1" x14ac:dyDescent="0.25">
      <c r="B45" s="102" t="s">
        <v>30</v>
      </c>
      <c r="C45" s="180" t="s">
        <v>42</v>
      </c>
      <c r="D45" s="181" t="s">
        <v>43</v>
      </c>
      <c r="E45" s="180" t="s">
        <v>42</v>
      </c>
      <c r="F45" s="181" t="s">
        <v>43</v>
      </c>
      <c r="G45" s="180" t="s">
        <v>42</v>
      </c>
      <c r="H45" s="181" t="s">
        <v>43</v>
      </c>
      <c r="I45" s="182" t="s">
        <v>42</v>
      </c>
      <c r="J45" s="181" t="s">
        <v>43</v>
      </c>
      <c r="K45" s="182" t="s">
        <v>42</v>
      </c>
      <c r="L45" s="181" t="s">
        <v>43</v>
      </c>
      <c r="M45" s="182" t="s">
        <v>42</v>
      </c>
      <c r="N45" s="181" t="s">
        <v>43</v>
      </c>
      <c r="O45" s="182" t="s">
        <v>42</v>
      </c>
      <c r="P45" s="181" t="s">
        <v>43</v>
      </c>
      <c r="Q45" s="182" t="s">
        <v>42</v>
      </c>
      <c r="R45" s="181" t="s">
        <v>43</v>
      </c>
      <c r="S45" s="182" t="s">
        <v>42</v>
      </c>
      <c r="T45" s="181" t="s">
        <v>43</v>
      </c>
      <c r="U45" s="182" t="s">
        <v>42</v>
      </c>
      <c r="V45" s="181" t="s">
        <v>43</v>
      </c>
      <c r="W45" s="182" t="s">
        <v>42</v>
      </c>
      <c r="X45" s="181" t="s">
        <v>43</v>
      </c>
      <c r="Y45" s="182" t="s">
        <v>42</v>
      </c>
      <c r="Z45" s="181" t="s">
        <v>43</v>
      </c>
      <c r="AA45" s="182" t="s">
        <v>42</v>
      </c>
      <c r="AB45" s="181" t="s">
        <v>43</v>
      </c>
      <c r="AC45" s="182" t="s">
        <v>42</v>
      </c>
      <c r="AD45" s="181" t="s">
        <v>43</v>
      </c>
      <c r="AE45" s="182" t="s">
        <v>42</v>
      </c>
      <c r="AF45" s="181" t="s">
        <v>43</v>
      </c>
      <c r="AG45" s="182" t="s">
        <v>42</v>
      </c>
      <c r="AH45" s="181" t="s">
        <v>43</v>
      </c>
      <c r="AI45" s="182" t="s">
        <v>42</v>
      </c>
      <c r="AJ45" s="181" t="s">
        <v>43</v>
      </c>
      <c r="AK45" s="182" t="s">
        <v>42</v>
      </c>
      <c r="AL45" s="181" t="s">
        <v>43</v>
      </c>
      <c r="AM45" s="182" t="s">
        <v>42</v>
      </c>
      <c r="AN45" s="181" t="s">
        <v>43</v>
      </c>
      <c r="AO45" s="182" t="s">
        <v>42</v>
      </c>
      <c r="AP45" s="181" t="s">
        <v>43</v>
      </c>
      <c r="AQ45" s="182" t="s">
        <v>42</v>
      </c>
      <c r="AR45" s="181" t="s">
        <v>43</v>
      </c>
      <c r="AS45" s="182" t="s">
        <v>42</v>
      </c>
      <c r="AT45" s="181" t="s">
        <v>43</v>
      </c>
      <c r="AU45" s="182" t="s">
        <v>42</v>
      </c>
      <c r="AV45" s="181" t="s">
        <v>43</v>
      </c>
      <c r="AW45" s="182" t="s">
        <v>42</v>
      </c>
      <c r="AX45" s="181" t="s">
        <v>43</v>
      </c>
      <c r="AY45" s="182" t="s">
        <v>42</v>
      </c>
      <c r="AZ45" s="181" t="s">
        <v>43</v>
      </c>
      <c r="BA45" s="182" t="s">
        <v>42</v>
      </c>
      <c r="BB45" s="181" t="s">
        <v>43</v>
      </c>
      <c r="BC45" s="182" t="s">
        <v>42</v>
      </c>
      <c r="BD45" s="183" t="s">
        <v>43</v>
      </c>
      <c r="BR45" s="7"/>
      <c r="BV45" s="1"/>
      <c r="DM45" s="5"/>
      <c r="DN45" s="5"/>
      <c r="DV45" s="1"/>
      <c r="DW45" s="6"/>
      <c r="EE45" s="1"/>
    </row>
    <row r="46" spans="2:181" x14ac:dyDescent="0.2">
      <c r="B46" s="195" t="s">
        <v>1</v>
      </c>
      <c r="C46" s="25">
        <f>C7-G7</f>
        <v>336</v>
      </c>
      <c r="D46" s="25">
        <f>E7-I7</f>
        <v>5</v>
      </c>
      <c r="E46" s="25">
        <f>G7-K7</f>
        <v>419</v>
      </c>
      <c r="F46" s="25">
        <f>I7-M7</f>
        <v>13</v>
      </c>
      <c r="G46" s="25">
        <f>K7-O7</f>
        <v>302</v>
      </c>
      <c r="H46" s="25">
        <f>M7-Q7</f>
        <v>6</v>
      </c>
      <c r="I46" s="25">
        <f>O7-S7</f>
        <v>344</v>
      </c>
      <c r="J46" s="25">
        <f>Q7-U7</f>
        <v>3</v>
      </c>
      <c r="K46" s="25">
        <f>S7-W7</f>
        <v>386</v>
      </c>
      <c r="L46" s="25">
        <f>U7-Y7</f>
        <v>19</v>
      </c>
      <c r="M46" s="25">
        <f>W7-AA7</f>
        <v>337</v>
      </c>
      <c r="N46" s="25">
        <f>Y7-AC7</f>
        <v>14</v>
      </c>
      <c r="O46" s="25">
        <f>AA7-AE7</f>
        <v>661</v>
      </c>
      <c r="P46" s="25">
        <f>AC7-AG7</f>
        <v>20</v>
      </c>
      <c r="Q46" s="25">
        <f>AE7-AI7</f>
        <v>600</v>
      </c>
      <c r="R46" s="25">
        <f>AG7-AK7</f>
        <v>21</v>
      </c>
      <c r="S46" s="25">
        <f>AI7-AM7</f>
        <v>573</v>
      </c>
      <c r="T46" s="25">
        <f>AK7-AO7</f>
        <v>2</v>
      </c>
      <c r="U46" s="25">
        <f>AM7-AQ7</f>
        <v>395</v>
      </c>
      <c r="V46" s="25">
        <f>AO7-AS7</f>
        <v>4</v>
      </c>
      <c r="W46" s="8">
        <f>AQ7-AU7</f>
        <v>378</v>
      </c>
      <c r="X46" s="103">
        <f>AS7-AW7</f>
        <v>0</v>
      </c>
      <c r="Y46" s="8">
        <f>AU7-AY7</f>
        <v>285</v>
      </c>
      <c r="Z46" s="8">
        <f>AW7-BA7</f>
        <v>2</v>
      </c>
      <c r="AA46" s="8">
        <f>AY7-BC7</f>
        <v>451</v>
      </c>
      <c r="AB46" s="8">
        <f>BA7-BE7</f>
        <v>1</v>
      </c>
      <c r="AC46" s="8">
        <f>AY7-BG7</f>
        <v>835</v>
      </c>
      <c r="AD46" s="8">
        <f>BE7-BI7</f>
        <v>4</v>
      </c>
      <c r="AE46" s="8">
        <f>BG7-BK7</f>
        <v>428</v>
      </c>
      <c r="AF46" s="8">
        <f>BI7-BM7</f>
        <v>10</v>
      </c>
      <c r="AG46" s="8">
        <f>BK7-BO7</f>
        <v>460</v>
      </c>
      <c r="AH46" s="8">
        <f>BM7-BQ7</f>
        <v>8</v>
      </c>
      <c r="AI46" s="8">
        <f>BO7-BS7</f>
        <v>285</v>
      </c>
      <c r="AJ46" s="8">
        <f>BQ7-BU7</f>
        <v>3</v>
      </c>
      <c r="AK46" s="8">
        <f>BS7-BW7</f>
        <v>215</v>
      </c>
      <c r="AL46" s="8">
        <f>BU7-BY7</f>
        <v>3</v>
      </c>
      <c r="AM46" s="8">
        <f>BW7-CA7</f>
        <v>225</v>
      </c>
      <c r="AN46" s="8">
        <f>BY7-CC7</f>
        <v>4</v>
      </c>
      <c r="AO46" s="8">
        <f>CA7-CE7</f>
        <v>256</v>
      </c>
      <c r="AP46" s="8">
        <f>CC7-CG7</f>
        <v>12</v>
      </c>
      <c r="AQ46" s="8">
        <f>CE7-CI7</f>
        <v>405</v>
      </c>
      <c r="AR46" s="8">
        <f>CG7-CK7</f>
        <v>14</v>
      </c>
      <c r="AS46" s="8">
        <f>CI7-CM7</f>
        <v>422</v>
      </c>
      <c r="AT46" s="8">
        <f>CK7-CO7</f>
        <v>7</v>
      </c>
      <c r="AU46" s="8">
        <f>CM7-CQ7</f>
        <v>289</v>
      </c>
      <c r="AV46" s="8">
        <f>CO7-CS7</f>
        <v>7</v>
      </c>
      <c r="AW46" s="8">
        <f>CQ7-CU7</f>
        <v>471</v>
      </c>
      <c r="AX46" s="8">
        <f>CS7-CW7</f>
        <v>8</v>
      </c>
      <c r="AY46" s="9">
        <f>CU7-CY7</f>
        <v>729</v>
      </c>
      <c r="AZ46" s="9">
        <f>CW7-DA7</f>
        <v>5</v>
      </c>
      <c r="BA46" s="9">
        <f>CY7-DC7</f>
        <v>966</v>
      </c>
      <c r="BB46" s="9">
        <f>DA7-DE7</f>
        <v>8</v>
      </c>
      <c r="BC46" s="9">
        <f>DC7-DG7</f>
        <v>667</v>
      </c>
      <c r="BD46" s="11">
        <f>DE7-DI7</f>
        <v>13</v>
      </c>
      <c r="BR46" s="7"/>
      <c r="BV46" s="1"/>
      <c r="DM46" s="5"/>
      <c r="DN46" s="5"/>
      <c r="DV46" s="1"/>
      <c r="DW46" s="6"/>
      <c r="EE46" s="1"/>
    </row>
    <row r="47" spans="2:181" x14ac:dyDescent="0.2">
      <c r="B47" s="195" t="s">
        <v>25</v>
      </c>
      <c r="C47" s="25">
        <f t="shared" ref="C47:C69" si="92">C8-G8</f>
        <v>210</v>
      </c>
      <c r="D47" s="25">
        <f t="shared" ref="D47:D69" si="93">E8-I8</f>
        <v>1</v>
      </c>
      <c r="E47" s="25">
        <f>G8-K8</f>
        <v>262</v>
      </c>
      <c r="F47" s="25">
        <f>I8-M8</f>
        <v>1</v>
      </c>
      <c r="G47" s="25">
        <f>K8-O8</f>
        <v>315</v>
      </c>
      <c r="H47" s="25">
        <f>M8-Q8</f>
        <v>5</v>
      </c>
      <c r="I47" s="25">
        <f>O8-S8</f>
        <v>177</v>
      </c>
      <c r="J47" s="25">
        <f>Q8-U8</f>
        <v>1</v>
      </c>
      <c r="K47" s="25">
        <f>S8-W8</f>
        <v>165</v>
      </c>
      <c r="L47" s="25">
        <f>U8-Y8</f>
        <v>2</v>
      </c>
      <c r="M47" s="25">
        <f>W8-AA8</f>
        <v>139</v>
      </c>
      <c r="N47" s="104">
        <f>Y8-AC8</f>
        <v>0</v>
      </c>
      <c r="O47" s="25">
        <f>AA8-AE8</f>
        <v>180</v>
      </c>
      <c r="P47" s="25">
        <f>AC8-AG8</f>
        <v>2</v>
      </c>
      <c r="Q47" s="25">
        <f>AE8-AI8</f>
        <v>162</v>
      </c>
      <c r="R47" s="104">
        <f>AG8-AK8</f>
        <v>0</v>
      </c>
      <c r="S47" s="25">
        <f>AI8-AM8</f>
        <v>99</v>
      </c>
      <c r="T47" s="104">
        <f>AK8-AO8</f>
        <v>0</v>
      </c>
      <c r="U47" s="25">
        <f>AM8-AQ8</f>
        <v>57</v>
      </c>
      <c r="V47" s="25">
        <f>AO8-AS8</f>
        <v>1</v>
      </c>
      <c r="W47" s="8">
        <f>AQ8-AU8</f>
        <v>31</v>
      </c>
      <c r="X47" s="8">
        <f>AS8-AW8</f>
        <v>2</v>
      </c>
      <c r="Y47" s="8">
        <f>AU8-AY8</f>
        <v>25</v>
      </c>
      <c r="Z47" s="103">
        <f>AW8-BA8</f>
        <v>0</v>
      </c>
      <c r="AA47" s="8">
        <f>AY8-BC8</f>
        <v>28</v>
      </c>
      <c r="AB47" s="103">
        <f>BA8-BE8</f>
        <v>0</v>
      </c>
      <c r="AC47" s="8">
        <f>AY8-BG8</f>
        <v>64</v>
      </c>
      <c r="AD47" s="103">
        <f>BE8-BI8</f>
        <v>0</v>
      </c>
      <c r="AE47" s="8">
        <f>BG8-BK8</f>
        <v>47</v>
      </c>
      <c r="AF47" s="8">
        <f>BI8-BM8</f>
        <v>4</v>
      </c>
      <c r="AG47" s="8">
        <f>BK8-BO8</f>
        <v>65</v>
      </c>
      <c r="AH47" s="8">
        <f>BM8-BQ8</f>
        <v>2</v>
      </c>
      <c r="AI47" s="8">
        <f>BO8-BS8</f>
        <v>99</v>
      </c>
      <c r="AJ47" s="8">
        <f>BQ8-BU8</f>
        <v>1</v>
      </c>
      <c r="AK47" s="8">
        <f>BS8-BW8</f>
        <v>74</v>
      </c>
      <c r="AL47" s="105">
        <f>BU8-BY8</f>
        <v>0</v>
      </c>
      <c r="AM47" s="8">
        <f>BW8-CA8</f>
        <v>31</v>
      </c>
      <c r="AN47" s="105">
        <f>BY8-CC8</f>
        <v>0</v>
      </c>
      <c r="AO47" s="8">
        <f>CA8-CE8</f>
        <v>68</v>
      </c>
      <c r="AP47" s="8">
        <f>CC8-CG8</f>
        <v>1</v>
      </c>
      <c r="AQ47" s="8">
        <f>CE8-CI8</f>
        <v>96</v>
      </c>
      <c r="AR47" s="8">
        <f>CG8-CK8</f>
        <v>2</v>
      </c>
      <c r="AS47" s="8">
        <f>CI8-CM8</f>
        <v>72</v>
      </c>
      <c r="AT47" s="8">
        <f>CK8-CO8</f>
        <v>1</v>
      </c>
      <c r="AU47" s="8">
        <f>CM8-CQ8</f>
        <v>66</v>
      </c>
      <c r="AV47" s="8">
        <f>CO8-CS8</f>
        <v>4</v>
      </c>
      <c r="AW47" s="8">
        <f>CQ8-CU8</f>
        <v>47</v>
      </c>
      <c r="AX47" s="105">
        <f>CS8-CW8</f>
        <v>0</v>
      </c>
      <c r="AY47" s="9">
        <f>CU8-CY8</f>
        <v>46</v>
      </c>
      <c r="AZ47" s="9">
        <f>CW8-DA8</f>
        <v>1</v>
      </c>
      <c r="BA47" s="9">
        <f>CY8-DC8</f>
        <v>116</v>
      </c>
      <c r="BB47" s="9">
        <f>DA8-DE8</f>
        <v>1</v>
      </c>
      <c r="BC47" s="9">
        <f>DC8-DG8</f>
        <v>97</v>
      </c>
      <c r="BD47" s="11">
        <f>DE8-DI8</f>
        <v>2</v>
      </c>
      <c r="BR47" s="7"/>
      <c r="BV47" s="1"/>
      <c r="DM47" s="5"/>
      <c r="DN47" s="5"/>
      <c r="DV47" s="1"/>
      <c r="DW47" s="6"/>
      <c r="EE47" s="1"/>
    </row>
    <row r="48" spans="2:181" x14ac:dyDescent="0.2">
      <c r="B48" s="195" t="s">
        <v>2</v>
      </c>
      <c r="C48" s="25">
        <f t="shared" si="92"/>
        <v>125</v>
      </c>
      <c r="D48" s="25">
        <f t="shared" si="93"/>
        <v>1</v>
      </c>
      <c r="E48" s="25">
        <f>G9-K9</f>
        <v>124</v>
      </c>
      <c r="F48" s="25">
        <f>I9-M9</f>
        <v>1</v>
      </c>
      <c r="G48" s="25">
        <f>K9-O9</f>
        <v>92</v>
      </c>
      <c r="H48" s="25">
        <f>M9-Q9</f>
        <v>2</v>
      </c>
      <c r="I48" s="25">
        <f>O9-S9</f>
        <v>72</v>
      </c>
      <c r="J48" s="25">
        <f>Q9-U9</f>
        <v>1</v>
      </c>
      <c r="K48" s="25">
        <f>S9-W9</f>
        <v>116</v>
      </c>
      <c r="L48" s="25">
        <f>U9-Y9</f>
        <v>1</v>
      </c>
      <c r="M48" s="25">
        <f>W9-AA9</f>
        <v>129</v>
      </c>
      <c r="N48" s="104">
        <f>Y9-AC9</f>
        <v>0</v>
      </c>
      <c r="O48" s="25">
        <f>AA9-AE9</f>
        <v>189</v>
      </c>
      <c r="P48" s="25">
        <f>AC9-AG9</f>
        <v>1</v>
      </c>
      <c r="Q48" s="25">
        <f>AE9-AI9</f>
        <v>207</v>
      </c>
      <c r="R48" s="25">
        <f>AG9-AK9</f>
        <v>3</v>
      </c>
      <c r="S48" s="25">
        <f>AI9-AM9</f>
        <v>160</v>
      </c>
      <c r="T48" s="25">
        <f>AK9-AO9</f>
        <v>1</v>
      </c>
      <c r="U48" s="25">
        <f>AM9-AQ9</f>
        <v>55</v>
      </c>
      <c r="V48" s="25">
        <f>AO9-AS9</f>
        <v>1</v>
      </c>
      <c r="W48" s="8">
        <f>AQ9-AU9</f>
        <v>123</v>
      </c>
      <c r="X48" s="8">
        <f>AS9-AW9</f>
        <v>1</v>
      </c>
      <c r="Y48" s="8">
        <f>AU9-AY9</f>
        <v>96</v>
      </c>
      <c r="Z48" s="8">
        <f>AW9-BA9</f>
        <v>3</v>
      </c>
      <c r="AA48" s="8">
        <f>AY9-BC9</f>
        <v>96</v>
      </c>
      <c r="AB48" s="103">
        <f>BA9-BE9</f>
        <v>0</v>
      </c>
      <c r="AC48" s="8">
        <f>AY9-BG9</f>
        <v>152</v>
      </c>
      <c r="AD48" s="8">
        <f>BE9-BI9</f>
        <v>1</v>
      </c>
      <c r="AE48" s="8">
        <f>BG9-BK9</f>
        <v>101</v>
      </c>
      <c r="AF48" s="8">
        <f>BI9-BM9</f>
        <v>9</v>
      </c>
      <c r="AG48" s="8">
        <f>BK9-BO9</f>
        <v>141</v>
      </c>
      <c r="AH48" s="8">
        <f>BM9-BQ9</f>
        <v>2</v>
      </c>
      <c r="AI48" s="8">
        <f>BO9-BS9</f>
        <v>56</v>
      </c>
      <c r="AJ48" s="8">
        <f>BQ9-BU9</f>
        <v>2</v>
      </c>
      <c r="AK48" s="8">
        <f>BS9-BW9</f>
        <v>38</v>
      </c>
      <c r="AL48" s="8">
        <f>BU9-BY9</f>
        <v>1</v>
      </c>
      <c r="AM48" s="8">
        <f>BW9-CA9</f>
        <v>74</v>
      </c>
      <c r="AN48" s="105">
        <f>BY9-CC9</f>
        <v>0</v>
      </c>
      <c r="AO48" s="8">
        <f>CA9-CE9</f>
        <v>27</v>
      </c>
      <c r="AP48" s="8">
        <f>CC9-CG9</f>
        <v>3</v>
      </c>
      <c r="AQ48" s="8">
        <f>CE9-CI9</f>
        <v>54</v>
      </c>
      <c r="AR48" s="8">
        <f>CG9-CK9</f>
        <v>3</v>
      </c>
      <c r="AS48" s="8">
        <f>CI9-CM9</f>
        <v>44</v>
      </c>
      <c r="AT48" s="8">
        <f>CK9-CO9</f>
        <v>5</v>
      </c>
      <c r="AU48" s="8">
        <f>CM9-CQ9</f>
        <v>46</v>
      </c>
      <c r="AV48" s="8">
        <f>CO9-CS9</f>
        <v>2</v>
      </c>
      <c r="AW48" s="8">
        <f>CQ9-CU9</f>
        <v>49</v>
      </c>
      <c r="AX48" s="8">
        <f>CS9-CW9</f>
        <v>2</v>
      </c>
      <c r="AY48" s="9">
        <f>CU9-CY9</f>
        <v>177</v>
      </c>
      <c r="AZ48" s="9">
        <f>CW9-DA9</f>
        <v>3</v>
      </c>
      <c r="BA48" s="9">
        <f>CY9-DC9</f>
        <v>93</v>
      </c>
      <c r="BB48" s="9">
        <f>DA9-DE9</f>
        <v>5</v>
      </c>
      <c r="BC48" s="9">
        <f>DC9-DG9</f>
        <v>177</v>
      </c>
      <c r="BD48" s="106">
        <f>DE9-DI9</f>
        <v>0</v>
      </c>
      <c r="BR48" s="7"/>
      <c r="BV48" s="1"/>
      <c r="DM48" s="5"/>
      <c r="DN48" s="5"/>
      <c r="DV48" s="1"/>
      <c r="DW48" s="6"/>
      <c r="EE48" s="1"/>
    </row>
    <row r="49" spans="2:135" x14ac:dyDescent="0.2">
      <c r="B49" s="195" t="s">
        <v>3</v>
      </c>
      <c r="C49" s="25">
        <f t="shared" si="92"/>
        <v>72</v>
      </c>
      <c r="D49" s="25">
        <f t="shared" si="93"/>
        <v>3</v>
      </c>
      <c r="E49" s="25">
        <f>G10-K10</f>
        <v>123</v>
      </c>
      <c r="F49" s="25">
        <f>I10-M10</f>
        <v>7</v>
      </c>
      <c r="G49" s="25">
        <f>K10-O10</f>
        <v>238</v>
      </c>
      <c r="H49" s="25">
        <f>M10-Q10</f>
        <v>3</v>
      </c>
      <c r="I49" s="25">
        <f>O10-S10</f>
        <v>79</v>
      </c>
      <c r="J49" s="25">
        <f>Q10-U10</f>
        <v>7</v>
      </c>
      <c r="K49" s="25">
        <f>S10-W10</f>
        <v>145</v>
      </c>
      <c r="L49" s="25">
        <f>U10-Y10</f>
        <v>6</v>
      </c>
      <c r="M49" s="25">
        <f>W10-AA10</f>
        <v>178</v>
      </c>
      <c r="N49" s="25">
        <f>Y10-AC10</f>
        <v>5</v>
      </c>
      <c r="O49" s="25">
        <f>AA10-AE10</f>
        <v>355</v>
      </c>
      <c r="P49" s="25">
        <f>AC10-AG10</f>
        <v>11</v>
      </c>
      <c r="Q49" s="25">
        <f>AE10-AI10</f>
        <v>544</v>
      </c>
      <c r="R49" s="25">
        <f>AG10-AK10</f>
        <v>15</v>
      </c>
      <c r="S49" s="25">
        <f>AI10-AM10</f>
        <v>315</v>
      </c>
      <c r="T49" s="25">
        <f>AK10-AO10</f>
        <v>11</v>
      </c>
      <c r="U49" s="25">
        <f>AM10-AQ10</f>
        <v>147</v>
      </c>
      <c r="V49" s="25">
        <f>AO10-AS10</f>
        <v>8</v>
      </c>
      <c r="W49" s="8">
        <f>AQ10-AU10</f>
        <v>145</v>
      </c>
      <c r="X49" s="8">
        <f>AS10-AW10</f>
        <v>4</v>
      </c>
      <c r="Y49" s="8">
        <f>AU10-AY10</f>
        <v>99</v>
      </c>
      <c r="Z49" s="103">
        <f>AW10-BA10</f>
        <v>0</v>
      </c>
      <c r="AA49" s="8">
        <f>AY10-BC10</f>
        <v>71</v>
      </c>
      <c r="AB49" s="8">
        <f>BA10-BE10</f>
        <v>4</v>
      </c>
      <c r="AC49" s="8">
        <f>AY10-BG10</f>
        <v>123</v>
      </c>
      <c r="AD49" s="8">
        <f>BE10-BI10</f>
        <v>3</v>
      </c>
      <c r="AE49" s="8">
        <f>BG10-BK10</f>
        <v>62</v>
      </c>
      <c r="AF49" s="8">
        <f>BI10-BM10</f>
        <v>2</v>
      </c>
      <c r="AG49" s="8">
        <f>BK10-BO10</f>
        <v>72</v>
      </c>
      <c r="AH49" s="8">
        <f>BM10-BQ10</f>
        <v>1</v>
      </c>
      <c r="AI49" s="8">
        <f>BO10-BS10</f>
        <v>54</v>
      </c>
      <c r="AJ49" s="8">
        <f>BQ10-BU10</f>
        <v>3</v>
      </c>
      <c r="AK49" s="8">
        <f>BS10-BW10</f>
        <v>42</v>
      </c>
      <c r="AL49" s="8">
        <f>BU10-BY10</f>
        <v>2</v>
      </c>
      <c r="AM49" s="8">
        <f>BW10-CA10</f>
        <v>63</v>
      </c>
      <c r="AN49" s="105">
        <f>BY10-CC10</f>
        <v>0</v>
      </c>
      <c r="AO49" s="8">
        <f>CA10-CE10</f>
        <v>76</v>
      </c>
      <c r="AP49" s="8">
        <f>CC10-CG10</f>
        <v>3</v>
      </c>
      <c r="AQ49" s="8">
        <f>CE10-CI10</f>
        <v>69</v>
      </c>
      <c r="AR49" s="8">
        <f>CG10-CK10</f>
        <v>3</v>
      </c>
      <c r="AS49" s="8">
        <f>CI10-CM10</f>
        <v>91</v>
      </c>
      <c r="AT49" s="8">
        <f>CK10-CO10</f>
        <v>2</v>
      </c>
      <c r="AU49" s="8">
        <f>CM10-CQ10</f>
        <v>82</v>
      </c>
      <c r="AV49" s="8">
        <f>CO10-CS10</f>
        <v>5</v>
      </c>
      <c r="AW49" s="8">
        <f>CQ10-CU10</f>
        <v>152</v>
      </c>
      <c r="AX49" s="8">
        <f>CS10-CW10</f>
        <v>2</v>
      </c>
      <c r="AY49" s="9">
        <f>CU10-CY10</f>
        <v>183</v>
      </c>
      <c r="AZ49" s="9">
        <f>CW10-DA10</f>
        <v>7</v>
      </c>
      <c r="BA49" s="9">
        <f>CY10-DC10</f>
        <v>181</v>
      </c>
      <c r="BB49" s="9">
        <f>DA10-DE10</f>
        <v>10</v>
      </c>
      <c r="BC49" s="9">
        <f>DC10-DG10</f>
        <v>151</v>
      </c>
      <c r="BD49" s="11">
        <f>DE10-DI10</f>
        <v>11</v>
      </c>
      <c r="BR49" s="7"/>
      <c r="BV49" s="1"/>
      <c r="DM49" s="5"/>
      <c r="DN49" s="5"/>
      <c r="DV49" s="1"/>
      <c r="DW49" s="6"/>
      <c r="EE49" s="1"/>
    </row>
    <row r="50" spans="2:135" x14ac:dyDescent="0.2">
      <c r="B50" s="195" t="s">
        <v>4</v>
      </c>
      <c r="C50" s="25">
        <f t="shared" si="92"/>
        <v>226</v>
      </c>
      <c r="D50" s="25">
        <f t="shared" si="93"/>
        <v>1</v>
      </c>
      <c r="E50" s="25">
        <f>G11-K11</f>
        <v>219</v>
      </c>
      <c r="F50" s="25">
        <f>I11-M11</f>
        <v>3</v>
      </c>
      <c r="G50" s="25">
        <f>K11-O11</f>
        <v>263</v>
      </c>
      <c r="H50" s="25">
        <f>M11-Q11</f>
        <v>6</v>
      </c>
      <c r="I50" s="25">
        <f>O11-S11</f>
        <v>145</v>
      </c>
      <c r="J50" s="25">
        <f>Q11-U11</f>
        <v>3</v>
      </c>
      <c r="K50" s="25">
        <f>S11-W11</f>
        <v>151</v>
      </c>
      <c r="L50" s="25">
        <f>U11-Y11</f>
        <v>5</v>
      </c>
      <c r="M50" s="25">
        <f>W11-AA11</f>
        <v>145</v>
      </c>
      <c r="N50" s="25">
        <f>Y11-AC11</f>
        <v>2</v>
      </c>
      <c r="O50" s="25">
        <f>AA11-AE11</f>
        <v>219</v>
      </c>
      <c r="P50" s="25">
        <f>AC11-AG11</f>
        <v>21</v>
      </c>
      <c r="Q50" s="25">
        <f>AE11-AI11</f>
        <v>259</v>
      </c>
      <c r="R50" s="25">
        <f>AG11-AK11</f>
        <v>5</v>
      </c>
      <c r="S50" s="25">
        <f>AI11-AM11</f>
        <v>310</v>
      </c>
      <c r="T50" s="25">
        <f>AK11-AO11</f>
        <v>4</v>
      </c>
      <c r="U50" s="25">
        <f>AM11-AQ11</f>
        <v>218</v>
      </c>
      <c r="V50" s="25">
        <f>AO11-AS11</f>
        <v>12</v>
      </c>
      <c r="W50" s="8">
        <f>AQ11-AU11</f>
        <v>109</v>
      </c>
      <c r="X50" s="8">
        <f>AS11-AW11</f>
        <v>1</v>
      </c>
      <c r="Y50" s="8">
        <f>AU11-AY11</f>
        <v>98</v>
      </c>
      <c r="Z50" s="103">
        <f>AW11-BA11</f>
        <v>0</v>
      </c>
      <c r="AA50" s="8">
        <f>AY11-BC11</f>
        <v>102</v>
      </c>
      <c r="AB50" s="8">
        <f>BA11-BE11</f>
        <v>1</v>
      </c>
      <c r="AC50" s="8">
        <f>AY11-BG11</f>
        <v>161</v>
      </c>
      <c r="AD50" s="8">
        <f>BE11-BI11</f>
        <v>7</v>
      </c>
      <c r="AE50" s="8">
        <f>BG11-BK11</f>
        <v>79</v>
      </c>
      <c r="AF50" s="8">
        <f>BI11-BM11</f>
        <v>5</v>
      </c>
      <c r="AG50" s="8">
        <f>BK11-BO11</f>
        <v>92</v>
      </c>
      <c r="AH50" s="8">
        <f>BM11-BQ11</f>
        <v>3</v>
      </c>
      <c r="AI50" s="8">
        <f>BO11-BS11</f>
        <v>93</v>
      </c>
      <c r="AJ50" s="8">
        <f>BQ11-BU11</f>
        <v>4</v>
      </c>
      <c r="AK50" s="8">
        <f>BS11-BW11</f>
        <v>69</v>
      </c>
      <c r="AL50" s="8">
        <f>BU11-BY11</f>
        <v>10</v>
      </c>
      <c r="AM50" s="8">
        <f>BW11-CA11</f>
        <v>70</v>
      </c>
      <c r="AN50" s="8">
        <f>BY11-CC11</f>
        <v>4</v>
      </c>
      <c r="AO50" s="8">
        <f>CA11-CE11</f>
        <v>54</v>
      </c>
      <c r="AP50" s="8">
        <f>CC11-CG11</f>
        <v>7</v>
      </c>
      <c r="AQ50" s="8">
        <f>CE11-CI11</f>
        <v>48</v>
      </c>
      <c r="AR50" s="8">
        <f>CG11-CK11</f>
        <v>6</v>
      </c>
      <c r="AS50" s="8">
        <f>CI11-CM11</f>
        <v>42</v>
      </c>
      <c r="AT50" s="8">
        <f>CK11-CO11</f>
        <v>1</v>
      </c>
      <c r="AU50" s="8">
        <f>CM11-CQ11</f>
        <v>56</v>
      </c>
      <c r="AV50" s="8">
        <f>CO11-CS11</f>
        <v>61</v>
      </c>
      <c r="AW50" s="8">
        <f>CQ11-CU11</f>
        <v>52</v>
      </c>
      <c r="AX50" s="8">
        <f>CS11-CW11</f>
        <v>3</v>
      </c>
      <c r="AY50" s="9">
        <f>CU11-CY11</f>
        <v>49</v>
      </c>
      <c r="AZ50" s="9">
        <f>CW11-DA11</f>
        <v>2</v>
      </c>
      <c r="BA50" s="9">
        <f>CY11-DC11</f>
        <v>39</v>
      </c>
      <c r="BB50" s="9">
        <f>DA11-DE11</f>
        <v>9</v>
      </c>
      <c r="BC50" s="9">
        <f>DC11-DG11</f>
        <v>85</v>
      </c>
      <c r="BD50" s="11">
        <f>DE11-DI11</f>
        <v>11</v>
      </c>
      <c r="BR50" s="7"/>
      <c r="BV50" s="1"/>
      <c r="DM50" s="5"/>
      <c r="DN50" s="5"/>
      <c r="DV50" s="1"/>
      <c r="DW50" s="6"/>
      <c r="EE50" s="1"/>
    </row>
    <row r="51" spans="2:135" x14ac:dyDescent="0.2">
      <c r="B51" s="195" t="s">
        <v>5</v>
      </c>
      <c r="C51" s="25">
        <f t="shared" si="92"/>
        <v>153</v>
      </c>
      <c r="D51" s="25">
        <f t="shared" si="93"/>
        <v>2</v>
      </c>
      <c r="E51" s="25">
        <f>G12-K12</f>
        <v>205</v>
      </c>
      <c r="F51" s="25">
        <f>I12-M12</f>
        <v>3</v>
      </c>
      <c r="G51" s="25">
        <f>K12-O12</f>
        <v>345</v>
      </c>
      <c r="H51" s="25">
        <f>M12-Q12</f>
        <v>21</v>
      </c>
      <c r="I51" s="25">
        <f>O12-S12</f>
        <v>137</v>
      </c>
      <c r="J51" s="25">
        <f>Q12-U12</f>
        <v>10</v>
      </c>
      <c r="K51" s="25">
        <f>S12-W12</f>
        <v>217</v>
      </c>
      <c r="L51" s="25">
        <f>U12-Y12</f>
        <v>11</v>
      </c>
      <c r="M51" s="25">
        <f>W12-AA12</f>
        <v>266</v>
      </c>
      <c r="N51" s="25">
        <f>Y12-AC12</f>
        <v>11</v>
      </c>
      <c r="O51" s="25">
        <f>AA12-AE12</f>
        <v>325</v>
      </c>
      <c r="P51" s="25">
        <f>AC12-AG12</f>
        <v>15</v>
      </c>
      <c r="Q51" s="25">
        <f>AE12-AI12</f>
        <v>389</v>
      </c>
      <c r="R51" s="25">
        <f>AG12-AK12</f>
        <v>16</v>
      </c>
      <c r="S51" s="25">
        <f>AI12-AM12</f>
        <v>468</v>
      </c>
      <c r="T51" s="25">
        <f>AK12-AO12</f>
        <v>10</v>
      </c>
      <c r="U51" s="25">
        <f>AM12-AQ12</f>
        <v>220</v>
      </c>
      <c r="V51" s="25">
        <f>AO12-AS12</f>
        <v>4</v>
      </c>
      <c r="W51" s="8">
        <f>AQ12-AU12</f>
        <v>224</v>
      </c>
      <c r="X51" s="8">
        <f>AS12-AW12</f>
        <v>2</v>
      </c>
      <c r="Y51" s="8">
        <f>AU12-AY12</f>
        <v>124</v>
      </c>
      <c r="Z51" s="8">
        <f>AW12-BA12</f>
        <v>2</v>
      </c>
      <c r="AA51" s="8">
        <f>AY12-BC12</f>
        <v>138</v>
      </c>
      <c r="AB51" s="8">
        <f>BA12-BE12</f>
        <v>5</v>
      </c>
      <c r="AC51" s="8">
        <f>AY12-BG12</f>
        <v>213</v>
      </c>
      <c r="AD51" s="103">
        <f>BE12-BI12</f>
        <v>0</v>
      </c>
      <c r="AE51" s="8">
        <f>BG12-BK12</f>
        <v>109</v>
      </c>
      <c r="AF51" s="8">
        <f>BI12-BM12</f>
        <v>9</v>
      </c>
      <c r="AG51" s="8">
        <f>BK12-BO12</f>
        <v>127</v>
      </c>
      <c r="AH51" s="8">
        <f>BM12-BQ12</f>
        <v>3</v>
      </c>
      <c r="AI51" s="8">
        <f>BO12-BS12</f>
        <v>175</v>
      </c>
      <c r="AJ51" s="8">
        <f>BQ12-BU12</f>
        <v>5</v>
      </c>
      <c r="AK51" s="8">
        <f>BS12-BW12</f>
        <v>124</v>
      </c>
      <c r="AL51" s="8">
        <f>BU12-BY12</f>
        <v>6</v>
      </c>
      <c r="AM51" s="8">
        <f>BW12-CA12</f>
        <v>89</v>
      </c>
      <c r="AN51" s="8">
        <f>BY12-CC12</f>
        <v>3</v>
      </c>
      <c r="AO51" s="8">
        <f>CA12-CE12</f>
        <v>221</v>
      </c>
      <c r="AP51" s="8">
        <f>CC12-CG12</f>
        <v>4</v>
      </c>
      <c r="AQ51" s="8">
        <f>CE12-CI12</f>
        <v>129</v>
      </c>
      <c r="AR51" s="8">
        <f>CG12-CK12</f>
        <v>8</v>
      </c>
      <c r="AS51" s="8">
        <f>CI12-CM12</f>
        <v>103</v>
      </c>
      <c r="AT51" s="8">
        <f>CK12-CO12</f>
        <v>34</v>
      </c>
      <c r="AU51" s="8">
        <f>CM12-CQ12</f>
        <v>149</v>
      </c>
      <c r="AV51" s="8">
        <f>CO12-CS12</f>
        <v>20</v>
      </c>
      <c r="AW51" s="8">
        <f>CQ12-CU12</f>
        <v>265</v>
      </c>
      <c r="AX51" s="8">
        <f>CS12-CW12</f>
        <v>12</v>
      </c>
      <c r="AY51" s="9">
        <f>CU12-CY12</f>
        <v>139</v>
      </c>
      <c r="AZ51" s="9">
        <f>CW12-DA12</f>
        <v>4</v>
      </c>
      <c r="BA51" s="9">
        <f>CY12-DC12</f>
        <v>209</v>
      </c>
      <c r="BB51" s="9">
        <f>DA12-DE12</f>
        <v>6</v>
      </c>
      <c r="BC51" s="9">
        <f>DC12-DG12</f>
        <v>138</v>
      </c>
      <c r="BD51" s="11">
        <f>DE12-DI12</f>
        <v>4</v>
      </c>
      <c r="BR51" s="7"/>
      <c r="BV51" s="1"/>
      <c r="DM51" s="5"/>
      <c r="DN51" s="5"/>
      <c r="DV51" s="1"/>
      <c r="DW51" s="6"/>
      <c r="EE51" s="1"/>
    </row>
    <row r="52" spans="2:135" x14ac:dyDescent="0.2">
      <c r="B52" s="195" t="s">
        <v>35</v>
      </c>
      <c r="C52" s="25">
        <f t="shared" si="92"/>
        <v>524</v>
      </c>
      <c r="D52" s="25">
        <f t="shared" si="93"/>
        <v>11</v>
      </c>
      <c r="E52" s="25">
        <f>G13-K13</f>
        <v>676</v>
      </c>
      <c r="F52" s="25">
        <f>I13-M13</f>
        <v>6</v>
      </c>
      <c r="G52" s="25">
        <f>K13-O13</f>
        <v>557</v>
      </c>
      <c r="H52" s="25">
        <f>M13-Q13</f>
        <v>9</v>
      </c>
      <c r="I52" s="25">
        <f>O13-S13</f>
        <v>468</v>
      </c>
      <c r="J52" s="25">
        <f>Q13-U13</f>
        <v>45</v>
      </c>
      <c r="K52" s="25">
        <f>S13-W13</f>
        <v>621</v>
      </c>
      <c r="L52" s="25">
        <f>U13-Y13</f>
        <v>24</v>
      </c>
      <c r="M52" s="25">
        <f>W13-AA13</f>
        <v>482</v>
      </c>
      <c r="N52" s="25">
        <f>Y13-AC13</f>
        <v>16</v>
      </c>
      <c r="O52" s="25">
        <f>AA13-AE13</f>
        <v>486</v>
      </c>
      <c r="P52" s="25">
        <f>AC13-AG13</f>
        <v>21</v>
      </c>
      <c r="Q52" s="25">
        <f>AE13-AI13</f>
        <v>545</v>
      </c>
      <c r="R52" s="25">
        <f>AG13-AK13</f>
        <v>27</v>
      </c>
      <c r="S52" s="25">
        <f>AI13-AM13</f>
        <v>594</v>
      </c>
      <c r="T52" s="25">
        <f>AK13-AO13</f>
        <v>10</v>
      </c>
      <c r="U52" s="25">
        <f>AM13-AQ13</f>
        <v>434</v>
      </c>
      <c r="V52" s="25">
        <f>AO13-AS13</f>
        <v>7</v>
      </c>
      <c r="W52" s="8">
        <f>AQ13-AU13</f>
        <v>285</v>
      </c>
      <c r="X52" s="8">
        <f>AS13-AW13</f>
        <v>14</v>
      </c>
      <c r="Y52" s="8">
        <f>AU13-AY13</f>
        <v>168</v>
      </c>
      <c r="Z52" s="8">
        <f>AW13-BA13</f>
        <v>5</v>
      </c>
      <c r="AA52" s="8">
        <f>AY13-BC13</f>
        <v>255</v>
      </c>
      <c r="AB52" s="8">
        <f>BA13-BE13</f>
        <v>8</v>
      </c>
      <c r="AC52" s="8">
        <f>AY13-BG13</f>
        <v>444</v>
      </c>
      <c r="AD52" s="8">
        <f>BE13-BI13</f>
        <v>2</v>
      </c>
      <c r="AE52" s="8">
        <f>BG13-BK13</f>
        <v>179</v>
      </c>
      <c r="AF52" s="8">
        <f>BI13-BM13</f>
        <v>10</v>
      </c>
      <c r="AG52" s="8">
        <f>BK13-BO13</f>
        <v>289</v>
      </c>
      <c r="AH52" s="8">
        <f>BM13-BQ13</f>
        <v>33</v>
      </c>
      <c r="AI52" s="8">
        <f>BO13-BS13</f>
        <v>203</v>
      </c>
      <c r="AJ52" s="8">
        <f>BQ13-BU13</f>
        <v>19</v>
      </c>
      <c r="AK52" s="8">
        <f>BS13-BW13</f>
        <v>293</v>
      </c>
      <c r="AL52" s="8">
        <f>BU13-BY13</f>
        <v>8</v>
      </c>
      <c r="AM52" s="8">
        <f>BW13-CA13</f>
        <v>100</v>
      </c>
      <c r="AN52" s="8">
        <f>BY13-CC13</f>
        <v>29</v>
      </c>
      <c r="AO52" s="8">
        <f>CA13-CE13</f>
        <v>182</v>
      </c>
      <c r="AP52" s="8">
        <f>CC13-CG13</f>
        <v>23</v>
      </c>
      <c r="AQ52" s="8">
        <f>CE13-CI13</f>
        <v>267</v>
      </c>
      <c r="AR52" s="8">
        <f>CG13-CK13</f>
        <v>10</v>
      </c>
      <c r="AS52" s="8">
        <f>CI13-CM13</f>
        <v>195</v>
      </c>
      <c r="AT52" s="8">
        <f>CK13-CO13</f>
        <v>30</v>
      </c>
      <c r="AU52" s="8">
        <f>CM13-CQ13</f>
        <v>193</v>
      </c>
      <c r="AV52" s="8">
        <f>CO13-CS13</f>
        <v>24</v>
      </c>
      <c r="AW52" s="8">
        <f>CQ13-CU13</f>
        <v>258</v>
      </c>
      <c r="AX52" s="8">
        <f>CS13-CW13</f>
        <v>59</v>
      </c>
      <c r="AY52" s="9">
        <f>CU13-CY13</f>
        <v>105</v>
      </c>
      <c r="AZ52" s="9">
        <f>CW13-DA13</f>
        <v>8</v>
      </c>
      <c r="BA52" s="9">
        <f>CY13-DC13</f>
        <v>224</v>
      </c>
      <c r="BB52" s="9">
        <f>DA13-DE13</f>
        <v>4</v>
      </c>
      <c r="BC52" s="9">
        <f>DC13-DG13</f>
        <v>346</v>
      </c>
      <c r="BD52" s="11">
        <f>DE13-DI13</f>
        <v>18</v>
      </c>
      <c r="BR52" s="7"/>
      <c r="BV52" s="1"/>
      <c r="DM52" s="5"/>
      <c r="DN52" s="5"/>
      <c r="DV52" s="1"/>
      <c r="DW52" s="6"/>
      <c r="EE52" s="1"/>
    </row>
    <row r="53" spans="2:135" x14ac:dyDescent="0.2">
      <c r="B53" s="195" t="s">
        <v>31</v>
      </c>
      <c r="C53" s="25">
        <f t="shared" si="92"/>
        <v>241</v>
      </c>
      <c r="D53" s="25">
        <f t="shared" si="93"/>
        <v>1</v>
      </c>
      <c r="E53" s="25">
        <f>G14-K14</f>
        <v>163</v>
      </c>
      <c r="F53" s="25">
        <f>I14-M14</f>
        <v>9</v>
      </c>
      <c r="G53" s="25">
        <f>K14-O14</f>
        <v>207</v>
      </c>
      <c r="H53" s="25">
        <f>M14-Q14</f>
        <v>5</v>
      </c>
      <c r="I53" s="25">
        <f>O14-S14</f>
        <v>136</v>
      </c>
      <c r="J53" s="25">
        <f>Q14-U14</f>
        <v>4</v>
      </c>
      <c r="K53" s="25">
        <f>S14-W14</f>
        <v>155</v>
      </c>
      <c r="L53" s="25">
        <f>U14-Y14</f>
        <v>14</v>
      </c>
      <c r="M53" s="25">
        <f>W14-AA14</f>
        <v>126</v>
      </c>
      <c r="N53" s="104">
        <f>Y14-AC14</f>
        <v>0</v>
      </c>
      <c r="O53" s="25">
        <f>AA14-AE14</f>
        <v>92</v>
      </c>
      <c r="P53" s="25">
        <f>AC14-AG14</f>
        <v>1</v>
      </c>
      <c r="Q53" s="25">
        <f>AE14-AI14</f>
        <v>126</v>
      </c>
      <c r="R53" s="25">
        <f>AG14-AK14</f>
        <v>5</v>
      </c>
      <c r="S53" s="25">
        <f>AI14-AM14</f>
        <v>105</v>
      </c>
      <c r="T53" s="104">
        <f>AK14-AO14</f>
        <v>0</v>
      </c>
      <c r="U53" s="25">
        <f>AM14-AQ14</f>
        <v>70</v>
      </c>
      <c r="V53" s="25">
        <f>AO14-AS14</f>
        <v>1</v>
      </c>
      <c r="W53" s="8">
        <f>AQ14-AU14</f>
        <v>43</v>
      </c>
      <c r="X53" s="8">
        <f>AS14-AW14</f>
        <v>3</v>
      </c>
      <c r="Y53" s="8">
        <f>AU14-AY14</f>
        <v>17</v>
      </c>
      <c r="Z53" s="8">
        <f>AW14-BA14</f>
        <v>2</v>
      </c>
      <c r="AA53" s="8">
        <f>AY14-BC14</f>
        <v>65</v>
      </c>
      <c r="AB53" s="103">
        <f>BA14-BE14</f>
        <v>0</v>
      </c>
      <c r="AC53" s="8">
        <f>AY14-BG14</f>
        <v>127</v>
      </c>
      <c r="AD53" s="8">
        <f>BE14-BI14</f>
        <v>2</v>
      </c>
      <c r="AE53" s="8">
        <f>BG14-BK14</f>
        <v>28</v>
      </c>
      <c r="AF53" s="8">
        <f>BI14-BM14</f>
        <v>14</v>
      </c>
      <c r="AG53" s="8">
        <f>BK14-BO14</f>
        <v>288</v>
      </c>
      <c r="AH53" s="105">
        <f>BM14-BQ14</f>
        <v>0</v>
      </c>
      <c r="AI53" s="8">
        <f>BO14-BS14</f>
        <v>39</v>
      </c>
      <c r="AJ53" s="8">
        <f>BQ14-BU14</f>
        <v>2</v>
      </c>
      <c r="AK53" s="8">
        <f>BS14-BW14</f>
        <v>106</v>
      </c>
      <c r="AL53" s="8">
        <f>BU14-BY14</f>
        <v>3</v>
      </c>
      <c r="AM53" s="8">
        <f>BW14-CA14</f>
        <v>141</v>
      </c>
      <c r="AN53" s="8">
        <f>BY14-CC14</f>
        <v>3</v>
      </c>
      <c r="AO53" s="8">
        <f>CA14-CE14</f>
        <v>112</v>
      </c>
      <c r="AP53" s="105">
        <f>CC14-CG14</f>
        <v>0</v>
      </c>
      <c r="AQ53" s="8">
        <f>CE14-CI14</f>
        <v>109</v>
      </c>
      <c r="AR53" s="8">
        <f>CG14-CK14</f>
        <v>8</v>
      </c>
      <c r="AS53" s="8">
        <f>CI14-CM14</f>
        <v>192</v>
      </c>
      <c r="AT53" s="8">
        <f>CK14-CO14</f>
        <v>1</v>
      </c>
      <c r="AU53" s="8">
        <f>CM14-CQ14</f>
        <v>67</v>
      </c>
      <c r="AV53" s="8">
        <f>CO14-CS14</f>
        <v>15</v>
      </c>
      <c r="AW53" s="8">
        <f>CQ14-CU14</f>
        <v>68</v>
      </c>
      <c r="AX53" s="8">
        <f>CS14-CW14</f>
        <v>1</v>
      </c>
      <c r="AY53" s="9">
        <f>CU14-CY14</f>
        <v>45</v>
      </c>
      <c r="AZ53" s="9">
        <f>CW14-DA14</f>
        <v>2</v>
      </c>
      <c r="BA53" s="9">
        <f>CY14-DC14</f>
        <v>39</v>
      </c>
      <c r="BB53" s="9">
        <f>DA14-DE14</f>
        <v>2</v>
      </c>
      <c r="BC53" s="9">
        <f>DC14-DG14</f>
        <v>58</v>
      </c>
      <c r="BD53" s="11">
        <f>DE14-DI14</f>
        <v>2</v>
      </c>
      <c r="BR53" s="7"/>
      <c r="BV53" s="1"/>
      <c r="DM53" s="5"/>
      <c r="DN53" s="5"/>
      <c r="DV53" s="1"/>
      <c r="DW53" s="6"/>
      <c r="EE53" s="1"/>
    </row>
    <row r="54" spans="2:135" x14ac:dyDescent="0.2">
      <c r="B54" s="195" t="s">
        <v>6</v>
      </c>
      <c r="C54" s="25">
        <f t="shared" si="92"/>
        <v>5</v>
      </c>
      <c r="D54" s="25">
        <f t="shared" si="93"/>
        <v>1</v>
      </c>
      <c r="E54" s="25">
        <f>G15-K15</f>
        <v>8</v>
      </c>
      <c r="F54" s="25">
        <f>I15-M15</f>
        <v>1</v>
      </c>
      <c r="G54" s="25">
        <f>K15-O15</f>
        <v>19</v>
      </c>
      <c r="H54" s="104">
        <f>M15-Q15</f>
        <v>0</v>
      </c>
      <c r="I54" s="25">
        <f>O15-S15</f>
        <v>6</v>
      </c>
      <c r="J54" s="104">
        <f>Q15-U15</f>
        <v>0</v>
      </c>
      <c r="K54" s="25">
        <f>S15-W15</f>
        <v>14</v>
      </c>
      <c r="L54" s="25">
        <f>U15-Y15</f>
        <v>1</v>
      </c>
      <c r="M54" s="25">
        <f>W15-AA15</f>
        <v>23</v>
      </c>
      <c r="N54" s="104">
        <f>Y15-AC15</f>
        <v>0</v>
      </c>
      <c r="O54" s="25">
        <f>AA15-AE15</f>
        <v>37</v>
      </c>
      <c r="P54" s="25">
        <f>AC15-AG15</f>
        <v>2</v>
      </c>
      <c r="Q54" s="25">
        <f>AE15-AI15</f>
        <v>72</v>
      </c>
      <c r="R54" s="25">
        <f>AG15-AK15</f>
        <v>1</v>
      </c>
      <c r="S54" s="25">
        <f>AI15-AM15</f>
        <v>149</v>
      </c>
      <c r="T54" s="104">
        <f>AK15-AO15</f>
        <v>0</v>
      </c>
      <c r="U54" s="25">
        <f>AM15-AQ15</f>
        <v>67</v>
      </c>
      <c r="V54" s="25">
        <f>AO15-AS15</f>
        <v>1</v>
      </c>
      <c r="W54" s="8">
        <f>AQ15-AU15</f>
        <v>19</v>
      </c>
      <c r="X54" s="8">
        <f>AS15-AW15</f>
        <v>1</v>
      </c>
      <c r="Y54" s="8">
        <f>AU15-AY15</f>
        <v>10</v>
      </c>
      <c r="Z54" s="103">
        <f>AW15-BA15</f>
        <v>0</v>
      </c>
      <c r="AA54" s="8">
        <f>AY15-BC15</f>
        <v>32</v>
      </c>
      <c r="AB54" s="103">
        <f>BA15-BE15</f>
        <v>0</v>
      </c>
      <c r="AC54" s="8">
        <f>AY15-BG15</f>
        <v>46</v>
      </c>
      <c r="AD54" s="8">
        <f>BE15-BI15</f>
        <v>1</v>
      </c>
      <c r="AE54" s="8">
        <f>BG15-BK15</f>
        <v>260</v>
      </c>
      <c r="AF54" s="8">
        <f>BI15-BM15</f>
        <v>3</v>
      </c>
      <c r="AG54" s="8">
        <f>BK15-BO15</f>
        <v>212</v>
      </c>
      <c r="AH54" s="105">
        <f>BM15-BQ15</f>
        <v>0</v>
      </c>
      <c r="AI54" s="8">
        <f>BO15-BS15</f>
        <v>142</v>
      </c>
      <c r="AJ54" s="105">
        <f>BQ15-BU15</f>
        <v>0</v>
      </c>
      <c r="AK54" s="8">
        <f>BS15-BW15</f>
        <v>3</v>
      </c>
      <c r="AL54" s="105">
        <f>BU15-BY15</f>
        <v>0</v>
      </c>
      <c r="AM54" s="8">
        <f>BW15-CA15</f>
        <v>3</v>
      </c>
      <c r="AN54" s="105">
        <f>BY15-CC15</f>
        <v>0</v>
      </c>
      <c r="AO54" s="8">
        <f>CA15-CE15</f>
        <v>7</v>
      </c>
      <c r="AP54" s="105">
        <f>CC15-CG15</f>
        <v>0</v>
      </c>
      <c r="AQ54" s="8">
        <f>CE15-CI15</f>
        <v>8</v>
      </c>
      <c r="AR54" s="105">
        <f>CG15-CK15</f>
        <v>0</v>
      </c>
      <c r="AS54" s="8">
        <f>CI15-CM15</f>
        <v>12</v>
      </c>
      <c r="AT54" s="105">
        <f>CK15-CO15</f>
        <v>0</v>
      </c>
      <c r="AU54" s="8">
        <f>CM15-CQ15</f>
        <v>1</v>
      </c>
      <c r="AV54" s="105">
        <f>CO15-CS15</f>
        <v>0</v>
      </c>
      <c r="AW54" s="8">
        <f>CQ15-CU15</f>
        <v>2</v>
      </c>
      <c r="AX54" s="105">
        <f>CS15-CW15</f>
        <v>0</v>
      </c>
      <c r="AY54" s="9">
        <f>CU15-CY15</f>
        <v>11</v>
      </c>
      <c r="AZ54" s="105">
        <f>CW15-DA15</f>
        <v>0</v>
      </c>
      <c r="BA54" s="9">
        <f>CY15-DC15</f>
        <v>4</v>
      </c>
      <c r="BB54" s="105">
        <f>DA15-DE15</f>
        <v>0</v>
      </c>
      <c r="BC54" s="9">
        <f>DC15-DG15</f>
        <v>73</v>
      </c>
      <c r="BD54" s="106">
        <f>DE15-DI15</f>
        <v>0</v>
      </c>
      <c r="BR54" s="7"/>
      <c r="BV54" s="1"/>
      <c r="DM54" s="5"/>
      <c r="DN54" s="5"/>
      <c r="DV54" s="1"/>
      <c r="DW54" s="6"/>
      <c r="EE54" s="1"/>
    </row>
    <row r="55" spans="2:135" x14ac:dyDescent="0.2">
      <c r="B55" s="195" t="s">
        <v>7</v>
      </c>
      <c r="C55" s="25">
        <f t="shared" si="92"/>
        <v>1113</v>
      </c>
      <c r="D55" s="25">
        <f t="shared" si="93"/>
        <v>16</v>
      </c>
      <c r="E55" s="25">
        <f>G16-K16</f>
        <v>1106</v>
      </c>
      <c r="F55" s="25">
        <f>I16-M16</f>
        <v>14</v>
      </c>
      <c r="G55" s="25">
        <f>K16-O16</f>
        <v>1558</v>
      </c>
      <c r="H55" s="25">
        <f>M16-Q16</f>
        <v>21</v>
      </c>
      <c r="I55" s="25">
        <f>O16-S16</f>
        <v>1033</v>
      </c>
      <c r="J55" s="25">
        <f>Q16-U16</f>
        <v>33</v>
      </c>
      <c r="K55" s="25">
        <f>S16-W16</f>
        <v>1130</v>
      </c>
      <c r="L55" s="25">
        <f>U16-Y16</f>
        <v>74</v>
      </c>
      <c r="M55" s="25">
        <f>W16-AA16</f>
        <v>790</v>
      </c>
      <c r="N55" s="25">
        <f>Y16-AC16</f>
        <v>10</v>
      </c>
      <c r="O55" s="25">
        <f>AA16-AE16</f>
        <v>991</v>
      </c>
      <c r="P55" s="25">
        <f>AC16-AG16</f>
        <v>27</v>
      </c>
      <c r="Q55" s="25">
        <f>AE16-AI16</f>
        <v>946</v>
      </c>
      <c r="R55" s="25">
        <f>AG16-AK16</f>
        <v>60</v>
      </c>
      <c r="S55" s="25">
        <f>AI16-AM16</f>
        <v>1165</v>
      </c>
      <c r="T55" s="25">
        <f>AK16-AO16</f>
        <v>4</v>
      </c>
      <c r="U55" s="25">
        <f>AM16-AQ16</f>
        <v>1108</v>
      </c>
      <c r="V55" s="25">
        <f>AO16-AS16</f>
        <v>13</v>
      </c>
      <c r="W55" s="8">
        <f>AQ16-AU16</f>
        <v>754</v>
      </c>
      <c r="X55" s="8">
        <f>AS16-AW16</f>
        <v>4</v>
      </c>
      <c r="Y55" s="8">
        <f>AU16-AY16</f>
        <v>312</v>
      </c>
      <c r="Z55" s="8">
        <f>AW16-BA16</f>
        <v>2</v>
      </c>
      <c r="AA55" s="8">
        <f>AY16-BC16</f>
        <v>486</v>
      </c>
      <c r="AB55" s="8">
        <f>BA16-BE16</f>
        <v>6</v>
      </c>
      <c r="AC55" s="8">
        <f>AY16-BG16</f>
        <v>1112</v>
      </c>
      <c r="AD55" s="8">
        <f>BE16-BI16</f>
        <v>17</v>
      </c>
      <c r="AE55" s="8">
        <f>BG16-BK16</f>
        <v>1175</v>
      </c>
      <c r="AF55" s="8">
        <f>BI16-BM16</f>
        <v>77</v>
      </c>
      <c r="AG55" s="8">
        <f>BK16-BO16</f>
        <v>621</v>
      </c>
      <c r="AH55" s="8">
        <f>BM16-BQ16</f>
        <v>31</v>
      </c>
      <c r="AI55" s="8">
        <f>BO16-BS16</f>
        <v>429</v>
      </c>
      <c r="AJ55" s="8">
        <f>BQ16-BU16</f>
        <v>7</v>
      </c>
      <c r="AK55" s="8">
        <f>BS16-BW16</f>
        <v>410</v>
      </c>
      <c r="AL55" s="8">
        <f>BU16-BY16</f>
        <v>8</v>
      </c>
      <c r="AM55" s="8">
        <f>BW16-CA16</f>
        <v>554</v>
      </c>
      <c r="AN55" s="8">
        <f>BY16-CC16</f>
        <v>7</v>
      </c>
      <c r="AO55" s="8">
        <f>CA16-CE16</f>
        <v>748</v>
      </c>
      <c r="AP55" s="8">
        <f>CC16-CG16</f>
        <v>3</v>
      </c>
      <c r="AQ55" s="8">
        <f>CE16-CI16</f>
        <v>405</v>
      </c>
      <c r="AR55" s="8">
        <f>CG16-CK16</f>
        <v>6</v>
      </c>
      <c r="AS55" s="8">
        <f>CI16-CM16</f>
        <v>375</v>
      </c>
      <c r="AT55" s="8">
        <f>CK16-CO16</f>
        <v>5</v>
      </c>
      <c r="AU55" s="8">
        <f>CM16-CQ16</f>
        <v>219</v>
      </c>
      <c r="AV55" s="8">
        <f>CO16-CS16</f>
        <v>58</v>
      </c>
      <c r="AW55" s="8">
        <f>CQ16-CU16</f>
        <v>165</v>
      </c>
      <c r="AX55" s="8">
        <f>CS16-CW16</f>
        <v>8</v>
      </c>
      <c r="AY55" s="9">
        <f>CU16-CY16</f>
        <v>159</v>
      </c>
      <c r="AZ55" s="9">
        <f>CW16-DA16</f>
        <v>7</v>
      </c>
      <c r="BA55" s="9">
        <f>CY16-DC16</f>
        <v>293</v>
      </c>
      <c r="BB55" s="9">
        <f>DA16-DE16</f>
        <v>9</v>
      </c>
      <c r="BC55" s="9">
        <f>DC16-DG16</f>
        <v>849</v>
      </c>
      <c r="BD55" s="11">
        <f>DE16-DI16</f>
        <v>3</v>
      </c>
      <c r="BR55" s="7"/>
      <c r="BV55" s="1"/>
      <c r="DM55" s="5"/>
      <c r="DN55" s="5"/>
      <c r="DV55" s="1"/>
      <c r="DW55" s="6"/>
      <c r="EE55" s="1"/>
    </row>
    <row r="56" spans="2:135" x14ac:dyDescent="0.2">
      <c r="B56" s="195" t="s">
        <v>8</v>
      </c>
      <c r="C56" s="25">
        <f t="shared" si="92"/>
        <v>230</v>
      </c>
      <c r="D56" s="25">
        <f t="shared" si="93"/>
        <v>10</v>
      </c>
      <c r="E56" s="25">
        <f>G17-K17</f>
        <v>245</v>
      </c>
      <c r="F56" s="25">
        <f>I17-M17</f>
        <v>6</v>
      </c>
      <c r="G56" s="25">
        <f>K17-O17</f>
        <v>321</v>
      </c>
      <c r="H56" s="25">
        <f>M17-Q17</f>
        <v>11</v>
      </c>
      <c r="I56" s="25">
        <f>O17-S17</f>
        <v>129</v>
      </c>
      <c r="J56" s="25">
        <f>Q17-U17</f>
        <v>2</v>
      </c>
      <c r="K56" s="25">
        <f>S17-W17</f>
        <v>270</v>
      </c>
      <c r="L56" s="25">
        <f>U17-Y17</f>
        <v>10</v>
      </c>
      <c r="M56" s="25">
        <f>W17-AA17</f>
        <v>375</v>
      </c>
      <c r="N56" s="25">
        <f>Y17-AC17</f>
        <v>5</v>
      </c>
      <c r="O56" s="25">
        <f>AA17-AE17</f>
        <v>347</v>
      </c>
      <c r="P56" s="25">
        <f>AC17-AG17</f>
        <v>3</v>
      </c>
      <c r="Q56" s="25">
        <f>AE17-AI17</f>
        <v>380</v>
      </c>
      <c r="R56" s="25">
        <f>AG17-AK17</f>
        <v>6</v>
      </c>
      <c r="S56" s="25">
        <f>AI17-AM17</f>
        <v>460</v>
      </c>
      <c r="T56" s="25">
        <f>AK17-AO17</f>
        <v>5</v>
      </c>
      <c r="U56" s="25">
        <f>AM17-AQ17</f>
        <v>202</v>
      </c>
      <c r="V56" s="25">
        <f>AO17-AS17</f>
        <v>4</v>
      </c>
      <c r="W56" s="8">
        <f>AQ17-AU17</f>
        <v>184</v>
      </c>
      <c r="X56" s="103">
        <f>AS17-AW17</f>
        <v>0</v>
      </c>
      <c r="Y56" s="8">
        <f>AU17-AY17</f>
        <v>134</v>
      </c>
      <c r="Z56" s="103">
        <f>AW17-BA17</f>
        <v>0</v>
      </c>
      <c r="AA56" s="8">
        <f>AY17-BC17</f>
        <v>130</v>
      </c>
      <c r="AB56" s="8">
        <f>BA17-BE17</f>
        <v>21</v>
      </c>
      <c r="AC56" s="8">
        <f>AY17-BG17</f>
        <v>214</v>
      </c>
      <c r="AD56" s="8">
        <f>BE17-BI17</f>
        <v>5</v>
      </c>
      <c r="AE56" s="8">
        <f>BG17-BK17</f>
        <v>195</v>
      </c>
      <c r="AF56" s="8">
        <f>BI17-BM17</f>
        <v>4</v>
      </c>
      <c r="AG56" s="8">
        <f>BK17-BO17</f>
        <v>164</v>
      </c>
      <c r="AH56" s="8">
        <f>BM17-BQ17</f>
        <v>14</v>
      </c>
      <c r="AI56" s="8">
        <f>BO17-BS17</f>
        <v>166</v>
      </c>
      <c r="AJ56" s="8">
        <f>BQ17-BU17</f>
        <v>4</v>
      </c>
      <c r="AK56" s="8">
        <f>BS17-BW17</f>
        <v>190</v>
      </c>
      <c r="AL56" s="8">
        <f>BU17-BY17</f>
        <v>3</v>
      </c>
      <c r="AM56" s="8">
        <f>BW17-CA17</f>
        <v>114</v>
      </c>
      <c r="AN56" s="8">
        <f>BY17-CC17</f>
        <v>2</v>
      </c>
      <c r="AO56" s="8">
        <f>CA17-CE17</f>
        <v>157</v>
      </c>
      <c r="AP56" s="8">
        <f>CC17-CG17</f>
        <v>7</v>
      </c>
      <c r="AQ56" s="8">
        <f>CE17-CI17</f>
        <v>109</v>
      </c>
      <c r="AR56" s="8">
        <f>CG17-CK17</f>
        <v>5</v>
      </c>
      <c r="AS56" s="8">
        <f>CI17-CM17</f>
        <v>181</v>
      </c>
      <c r="AT56" s="8">
        <f>CK17-CO17</f>
        <v>27</v>
      </c>
      <c r="AU56" s="8">
        <f>CM17-CQ17</f>
        <v>157</v>
      </c>
      <c r="AV56" s="8">
        <f>CO17-CS17</f>
        <v>9</v>
      </c>
      <c r="AW56" s="8">
        <f>CQ17-CU17</f>
        <v>302</v>
      </c>
      <c r="AX56" s="8">
        <f>CS17-CW17</f>
        <v>7</v>
      </c>
      <c r="AY56" s="9">
        <f>CU17-CY17</f>
        <v>304</v>
      </c>
      <c r="AZ56" s="9">
        <f>CW17-DA17</f>
        <v>9</v>
      </c>
      <c r="BA56" s="9">
        <f>CY17-DC17</f>
        <v>248</v>
      </c>
      <c r="BB56" s="9">
        <f>DA17-DE17</f>
        <v>2</v>
      </c>
      <c r="BC56" s="9">
        <f>DC17-DG17</f>
        <v>248</v>
      </c>
      <c r="BD56" s="11">
        <f>DE17-DI17</f>
        <v>10</v>
      </c>
      <c r="BR56" s="7"/>
      <c r="BV56" s="1"/>
      <c r="DM56" s="5"/>
      <c r="DN56" s="5"/>
      <c r="DV56" s="1"/>
      <c r="DW56" s="6"/>
      <c r="EE56" s="1"/>
    </row>
    <row r="57" spans="2:135" x14ac:dyDescent="0.2">
      <c r="B57" s="195" t="s">
        <v>9</v>
      </c>
      <c r="C57" s="25">
        <f t="shared" si="92"/>
        <v>382</v>
      </c>
      <c r="D57" s="25">
        <f t="shared" si="93"/>
        <v>16</v>
      </c>
      <c r="E57" s="25">
        <f>G18-K18</f>
        <v>331</v>
      </c>
      <c r="F57" s="25">
        <f>I18-M18</f>
        <v>14</v>
      </c>
      <c r="G57" s="25">
        <f>K18-O18</f>
        <v>366</v>
      </c>
      <c r="H57" s="25">
        <f>M18-Q18</f>
        <v>7</v>
      </c>
      <c r="I57" s="25">
        <f>O18-S18</f>
        <v>366</v>
      </c>
      <c r="J57" s="25">
        <f>Q18-U18</f>
        <v>8</v>
      </c>
      <c r="K57" s="25">
        <f>S18-W18</f>
        <v>326</v>
      </c>
      <c r="L57" s="25">
        <f>U18-Y18</f>
        <v>9</v>
      </c>
      <c r="M57" s="25">
        <f>W18-AA18</f>
        <v>223</v>
      </c>
      <c r="N57" s="25">
        <f>Y18-AC18</f>
        <v>12</v>
      </c>
      <c r="O57" s="25">
        <f>AA18-AE18</f>
        <v>448</v>
      </c>
      <c r="P57" s="25">
        <f>AC18-AG18</f>
        <v>6</v>
      </c>
      <c r="Q57" s="25">
        <f>AE18-AI18</f>
        <v>366</v>
      </c>
      <c r="R57" s="25">
        <f>AG18-AK18</f>
        <v>9</v>
      </c>
      <c r="S57" s="25">
        <f>AI18-AM18</f>
        <v>415</v>
      </c>
      <c r="T57" s="104">
        <f>AK18-AO18</f>
        <v>0</v>
      </c>
      <c r="U57" s="25">
        <f>AM18-AQ18</f>
        <v>166</v>
      </c>
      <c r="V57" s="25">
        <f>AO18-AS18</f>
        <v>1</v>
      </c>
      <c r="W57" s="8">
        <f>AQ18-AU18</f>
        <v>189</v>
      </c>
      <c r="X57" s="8">
        <f>AS18-AW18</f>
        <v>1</v>
      </c>
      <c r="Y57" s="8">
        <f>AU18-AY18</f>
        <v>118</v>
      </c>
      <c r="Z57" s="103">
        <f>AW18-BA18</f>
        <v>0</v>
      </c>
      <c r="AA57" s="8">
        <f>AY18-BC18</f>
        <v>120</v>
      </c>
      <c r="AB57" s="103">
        <f>BA18-BE18</f>
        <v>0</v>
      </c>
      <c r="AC57" s="8">
        <f>AY18-BG18</f>
        <v>212</v>
      </c>
      <c r="AD57" s="8">
        <f>BE18-BI18</f>
        <v>4</v>
      </c>
      <c r="AE57" s="8">
        <f>BG18-BK18</f>
        <v>188</v>
      </c>
      <c r="AF57" s="8">
        <f>BI18-BM18</f>
        <v>1</v>
      </c>
      <c r="AG57" s="8">
        <f>BK18-BO18</f>
        <v>115</v>
      </c>
      <c r="AH57" s="8">
        <f>BM18-BQ18</f>
        <v>3</v>
      </c>
      <c r="AI57" s="8">
        <f>BO18-BS18</f>
        <v>156</v>
      </c>
      <c r="AJ57" s="8">
        <f>BQ18-BU18</f>
        <v>5</v>
      </c>
      <c r="AK57" s="8">
        <f>BS18-BW18</f>
        <v>286</v>
      </c>
      <c r="AL57" s="8">
        <f>BU18-BY18</f>
        <v>3</v>
      </c>
      <c r="AM57" s="8">
        <f>BW18-CA18</f>
        <v>178</v>
      </c>
      <c r="AN57" s="8">
        <f>BY18-CC18</f>
        <v>10</v>
      </c>
      <c r="AO57" s="8">
        <f>CA18-CE18</f>
        <v>198</v>
      </c>
      <c r="AP57" s="8">
        <f>CC18-CG18</f>
        <v>1</v>
      </c>
      <c r="AQ57" s="8">
        <f>CE18-CI18</f>
        <v>111</v>
      </c>
      <c r="AR57" s="8">
        <f>CG18-CK18</f>
        <v>11</v>
      </c>
      <c r="AS57" s="8">
        <f>CI18-CM18</f>
        <v>181</v>
      </c>
      <c r="AT57" s="8">
        <f>CK18-CO18</f>
        <v>7</v>
      </c>
      <c r="AU57" s="8">
        <f>CM18-CQ18</f>
        <v>89</v>
      </c>
      <c r="AV57" s="8">
        <f>CO18-CS18</f>
        <v>3</v>
      </c>
      <c r="AW57" s="8">
        <f>CQ18-CU18</f>
        <v>275</v>
      </c>
      <c r="AX57" s="8">
        <f>CS18-CW18</f>
        <v>8</v>
      </c>
      <c r="AY57" s="9">
        <f>CU18-CY18</f>
        <v>261</v>
      </c>
      <c r="AZ57" s="9">
        <f>CW18-DA18</f>
        <v>8</v>
      </c>
      <c r="BA57" s="9">
        <f>CY18-DC18</f>
        <v>168</v>
      </c>
      <c r="BB57" s="9">
        <f>DA18-DE18</f>
        <v>3</v>
      </c>
      <c r="BC57" s="9">
        <f>DC18-DG18</f>
        <v>202</v>
      </c>
      <c r="BD57" s="11">
        <f>DE18-DI18</f>
        <v>12</v>
      </c>
      <c r="BR57" s="7"/>
      <c r="BV57" s="1"/>
      <c r="DM57" s="5"/>
      <c r="DN57" s="5"/>
      <c r="DV57" s="1"/>
      <c r="DW57" s="6"/>
      <c r="EE57" s="1"/>
    </row>
    <row r="58" spans="2:135" x14ac:dyDescent="0.2">
      <c r="B58" s="195" t="s">
        <v>10</v>
      </c>
      <c r="C58" s="25">
        <f t="shared" si="92"/>
        <v>318</v>
      </c>
      <c r="D58" s="25">
        <f t="shared" si="93"/>
        <v>2</v>
      </c>
      <c r="E58" s="25">
        <f>G19-K19</f>
        <v>439</v>
      </c>
      <c r="F58" s="25">
        <f>I19-M19</f>
        <v>18</v>
      </c>
      <c r="G58" s="25">
        <f>K19-O19</f>
        <v>526</v>
      </c>
      <c r="H58" s="25">
        <f>M19-Q19</f>
        <v>2</v>
      </c>
      <c r="I58" s="25">
        <f>O19-S19</f>
        <v>396</v>
      </c>
      <c r="J58" s="25">
        <f>Q19-U19</f>
        <v>3</v>
      </c>
      <c r="K58" s="25">
        <f>S19-W19</f>
        <v>336</v>
      </c>
      <c r="L58" s="25">
        <f>U19-Y19</f>
        <v>8</v>
      </c>
      <c r="M58" s="25">
        <f>W19-AA19</f>
        <v>262</v>
      </c>
      <c r="N58" s="25">
        <f>Y19-AC19</f>
        <v>4</v>
      </c>
      <c r="O58" s="25">
        <f>AA19-AE19</f>
        <v>346</v>
      </c>
      <c r="P58" s="25">
        <f>AC19-AG19</f>
        <v>4</v>
      </c>
      <c r="Q58" s="25">
        <f>AE19-AI19</f>
        <v>307</v>
      </c>
      <c r="R58" s="25">
        <f>AG19-AK19</f>
        <v>2</v>
      </c>
      <c r="S58" s="25">
        <f>AI19-AM19</f>
        <v>276</v>
      </c>
      <c r="T58" s="25">
        <f>AK19-AO19</f>
        <v>1</v>
      </c>
      <c r="U58" s="25">
        <f>AM19-AQ19</f>
        <v>175</v>
      </c>
      <c r="V58" s="25">
        <f>AO19-AS19</f>
        <v>1</v>
      </c>
      <c r="W58" s="8">
        <f>AQ19-AU19</f>
        <v>107</v>
      </c>
      <c r="X58" s="103">
        <f>AS19-AW19</f>
        <v>0</v>
      </c>
      <c r="Y58" s="8">
        <f>AU19-AY19</f>
        <v>57</v>
      </c>
      <c r="Z58" s="103">
        <f>AW19-BA19</f>
        <v>0</v>
      </c>
      <c r="AA58" s="8">
        <f>AY19-BC19</f>
        <v>82</v>
      </c>
      <c r="AB58" s="103">
        <f>BA19-BE19</f>
        <v>0</v>
      </c>
      <c r="AC58" s="8">
        <f>AY19-BG19</f>
        <v>189</v>
      </c>
      <c r="AD58" s="8">
        <f>BE19-BI19</f>
        <v>2</v>
      </c>
      <c r="AE58" s="8">
        <f>BG19-BK19</f>
        <v>147</v>
      </c>
      <c r="AF58" s="8">
        <f>BI19-BM19</f>
        <v>8</v>
      </c>
      <c r="AG58" s="8">
        <f>BK19-BO19</f>
        <v>181</v>
      </c>
      <c r="AH58" s="8">
        <f>BM19-BQ19</f>
        <v>5</v>
      </c>
      <c r="AI58" s="8">
        <f>BO19-BS19</f>
        <v>67</v>
      </c>
      <c r="AJ58" s="8">
        <f>BQ19-BU19</f>
        <v>5</v>
      </c>
      <c r="AK58" s="8">
        <f>BS19-BW19</f>
        <v>113</v>
      </c>
      <c r="AL58" s="8">
        <f>BU19-BY19</f>
        <v>2</v>
      </c>
      <c r="AM58" s="8">
        <f>BW19-CA19</f>
        <v>75</v>
      </c>
      <c r="AN58" s="8">
        <f>BY19-CC19</f>
        <v>2</v>
      </c>
      <c r="AO58" s="8">
        <f>CA19-CE19</f>
        <v>88</v>
      </c>
      <c r="AP58" s="8">
        <f>CC19-CG19</f>
        <v>1</v>
      </c>
      <c r="AQ58" s="8">
        <f>CE19-CI19</f>
        <v>85</v>
      </c>
      <c r="AR58" s="8">
        <f>CG19-CK19</f>
        <v>3</v>
      </c>
      <c r="AS58" s="8">
        <f>CI19-CM19</f>
        <v>69</v>
      </c>
      <c r="AT58" s="8">
        <f>CK19-CO19</f>
        <v>3</v>
      </c>
      <c r="AU58" s="8">
        <f>CM19-CQ19</f>
        <v>51</v>
      </c>
      <c r="AV58" s="8">
        <f>CO19-CS19</f>
        <v>44</v>
      </c>
      <c r="AW58" s="8">
        <f>CQ19-CU19</f>
        <v>50</v>
      </c>
      <c r="AX58" s="8">
        <f>CS19-CW19</f>
        <v>2</v>
      </c>
      <c r="AY58" s="9">
        <f>CU19-CY19</f>
        <v>204</v>
      </c>
      <c r="AZ58" s="9">
        <f>CW19-DA19</f>
        <v>6</v>
      </c>
      <c r="BA58" s="9">
        <f>CY19-DC19</f>
        <v>15</v>
      </c>
      <c r="BB58" s="9">
        <f>DA19-DE19</f>
        <v>2</v>
      </c>
      <c r="BC58" s="9">
        <f>DC19-DG19</f>
        <v>139</v>
      </c>
      <c r="BD58" s="11">
        <f>DE19-DI19</f>
        <v>11</v>
      </c>
      <c r="BR58" s="7"/>
      <c r="BV58" s="1"/>
      <c r="DM58" s="5"/>
      <c r="DN58" s="5"/>
      <c r="DV58" s="1"/>
      <c r="DW58" s="6"/>
      <c r="EE58" s="1"/>
    </row>
    <row r="59" spans="2:135" x14ac:dyDescent="0.2">
      <c r="B59" s="195" t="s">
        <v>11</v>
      </c>
      <c r="C59" s="25">
        <f t="shared" si="92"/>
        <v>999</v>
      </c>
      <c r="D59" s="25">
        <f t="shared" si="93"/>
        <v>46</v>
      </c>
      <c r="E59" s="25">
        <f>G20-K20</f>
        <v>1266</v>
      </c>
      <c r="F59" s="25">
        <f>I20-M20</f>
        <v>47</v>
      </c>
      <c r="G59" s="25">
        <f>K20-O20</f>
        <v>1106</v>
      </c>
      <c r="H59" s="25">
        <f>M20-Q20</f>
        <v>37</v>
      </c>
      <c r="I59" s="25">
        <f>O20-S20</f>
        <v>526</v>
      </c>
      <c r="J59" s="25">
        <f>Q20-U20</f>
        <v>42</v>
      </c>
      <c r="K59" s="25">
        <f>S20-W20</f>
        <v>822</v>
      </c>
      <c r="L59" s="25">
        <f>U20-Y20</f>
        <v>60</v>
      </c>
      <c r="M59" s="25">
        <f>W20-AA20</f>
        <v>484</v>
      </c>
      <c r="N59" s="25">
        <f>Y20-AC20</f>
        <v>32</v>
      </c>
      <c r="O59" s="25">
        <f>AA20-AE20</f>
        <v>675</v>
      </c>
      <c r="P59" s="25">
        <f>AC20-AG20</f>
        <v>35</v>
      </c>
      <c r="Q59" s="25">
        <f>AE20-AI20</f>
        <v>579</v>
      </c>
      <c r="R59" s="25">
        <f>AG20-AK20</f>
        <v>29</v>
      </c>
      <c r="S59" s="25">
        <f>AI20-AM20</f>
        <v>708</v>
      </c>
      <c r="T59" s="25">
        <f>AK20-AO20</f>
        <v>33</v>
      </c>
      <c r="U59" s="25">
        <f>AM20-AQ20</f>
        <v>497</v>
      </c>
      <c r="V59" s="25">
        <f>AO20-AS20</f>
        <v>25</v>
      </c>
      <c r="W59" s="8">
        <f>AQ20-AU20</f>
        <v>403</v>
      </c>
      <c r="X59" s="8">
        <f>AS20-AW20</f>
        <v>14</v>
      </c>
      <c r="Y59" s="8">
        <f>AU20-AY20</f>
        <v>374</v>
      </c>
      <c r="Z59" s="8">
        <f>AW20-BA20</f>
        <v>16</v>
      </c>
      <c r="AA59" s="8">
        <f>AY20-BC20</f>
        <v>296</v>
      </c>
      <c r="AB59" s="8">
        <f>BA20-BE20</f>
        <v>15</v>
      </c>
      <c r="AC59" s="8">
        <f>AY20-BG20</f>
        <v>769</v>
      </c>
      <c r="AD59" s="8">
        <f>BE20-BI20</f>
        <v>17</v>
      </c>
      <c r="AE59" s="8">
        <f>BG20-BK20</f>
        <v>763</v>
      </c>
      <c r="AF59" s="8">
        <f>BI20-BM20</f>
        <v>63</v>
      </c>
      <c r="AG59" s="8">
        <f>BK20-BO20</f>
        <v>346</v>
      </c>
      <c r="AH59" s="8">
        <f>BM20-BQ20</f>
        <v>19</v>
      </c>
      <c r="AI59" s="8">
        <f>BO20-BS20</f>
        <v>425</v>
      </c>
      <c r="AJ59" s="8">
        <f>BQ20-BU20</f>
        <v>35</v>
      </c>
      <c r="AK59" s="8">
        <f>BS20-BW20</f>
        <v>471</v>
      </c>
      <c r="AL59" s="8">
        <f>BU20-BY20</f>
        <v>83</v>
      </c>
      <c r="AM59" s="8">
        <f>BW20-CA20</f>
        <v>297</v>
      </c>
      <c r="AN59" s="8">
        <f>BY20-CC20</f>
        <v>41</v>
      </c>
      <c r="AO59" s="8">
        <f>CA20-CE20</f>
        <v>398</v>
      </c>
      <c r="AP59" s="8">
        <f>CC20-CG20</f>
        <v>21</v>
      </c>
      <c r="AQ59" s="8">
        <f>CE20-CI20</f>
        <v>477</v>
      </c>
      <c r="AR59" s="8">
        <f>CG20-CK20</f>
        <v>21</v>
      </c>
      <c r="AS59" s="8">
        <f>CI20-CM20</f>
        <v>258</v>
      </c>
      <c r="AT59" s="8">
        <f>CK20-CO20</f>
        <v>31</v>
      </c>
      <c r="AU59" s="8">
        <f>CM20-CQ20</f>
        <v>242</v>
      </c>
      <c r="AV59" s="8">
        <f>CO20-CS20</f>
        <v>147</v>
      </c>
      <c r="AW59" s="8">
        <f>CQ20-CU20</f>
        <v>229</v>
      </c>
      <c r="AX59" s="8">
        <f>CS20-CW20</f>
        <v>40</v>
      </c>
      <c r="AY59" s="9">
        <f>CU20-CY20</f>
        <v>240</v>
      </c>
      <c r="AZ59" s="9">
        <f>CW20-DA20</f>
        <v>15</v>
      </c>
      <c r="BA59" s="9">
        <f>CY20-DC20</f>
        <v>127</v>
      </c>
      <c r="BB59" s="9">
        <f>DA20-DE20</f>
        <v>20</v>
      </c>
      <c r="BC59" s="9">
        <f>DC20-DG20</f>
        <v>523</v>
      </c>
      <c r="BD59" s="11">
        <f>DE20-DI20</f>
        <v>17</v>
      </c>
      <c r="BR59" s="7"/>
      <c r="BV59" s="1"/>
      <c r="DM59" s="5"/>
      <c r="DN59" s="5"/>
      <c r="DV59" s="1"/>
      <c r="DW59" s="6"/>
      <c r="EE59" s="1"/>
    </row>
    <row r="60" spans="2:135" ht="15" thickBot="1" x14ac:dyDescent="0.25">
      <c r="B60" s="195" t="s">
        <v>12</v>
      </c>
      <c r="C60" s="25">
        <f t="shared" si="92"/>
        <v>62</v>
      </c>
      <c r="D60" s="25">
        <f t="shared" si="93"/>
        <v>2</v>
      </c>
      <c r="E60" s="25">
        <f>G21-K21</f>
        <v>63</v>
      </c>
      <c r="F60" s="25">
        <f>I21-M21</f>
        <v>4</v>
      </c>
      <c r="G60" s="25">
        <f>K21-O21</f>
        <v>52</v>
      </c>
      <c r="H60" s="104">
        <f>M21-Q21</f>
        <v>0</v>
      </c>
      <c r="I60" s="25">
        <f>O21-S21</f>
        <v>29</v>
      </c>
      <c r="J60" s="104">
        <f>Q21-U21</f>
        <v>0</v>
      </c>
      <c r="K60" s="25">
        <f>S21-W21</f>
        <v>68</v>
      </c>
      <c r="L60" s="104">
        <f>U21-Y21</f>
        <v>0</v>
      </c>
      <c r="M60" s="25">
        <f>W21-AA21</f>
        <v>37</v>
      </c>
      <c r="N60" s="25">
        <f>Y21-AC21</f>
        <v>2</v>
      </c>
      <c r="O60" s="25">
        <f>AA21-AE21</f>
        <v>87</v>
      </c>
      <c r="P60" s="25">
        <f>AC21-AG21</f>
        <v>1</v>
      </c>
      <c r="Q60" s="25">
        <f>AE21-AI21</f>
        <v>109</v>
      </c>
      <c r="R60" s="25">
        <f>AG21-AK21</f>
        <v>1</v>
      </c>
      <c r="S60" s="25">
        <f>AI21-AM21</f>
        <v>174</v>
      </c>
      <c r="T60" s="104">
        <f>AK21-AO21</f>
        <v>0</v>
      </c>
      <c r="U60" s="25">
        <f>AM21-AQ21</f>
        <v>107</v>
      </c>
      <c r="V60" s="25">
        <f>AO21-AS21</f>
        <v>1</v>
      </c>
      <c r="W60" s="8">
        <f>AQ21-AU21</f>
        <v>90</v>
      </c>
      <c r="X60" s="103">
        <f>AS21-AW21</f>
        <v>0</v>
      </c>
      <c r="Y60" s="8">
        <f>AU21-AY21</f>
        <v>90</v>
      </c>
      <c r="Z60" s="8">
        <f>AW21-BA21</f>
        <v>1</v>
      </c>
      <c r="AA60" s="8">
        <f>AY21-BC21</f>
        <v>119</v>
      </c>
      <c r="AB60" s="103">
        <f>BA21-BE21</f>
        <v>0</v>
      </c>
      <c r="AC60" s="8">
        <f>AY21-BG21</f>
        <v>193</v>
      </c>
      <c r="AD60" s="8">
        <f>BE21-BI21</f>
        <v>1</v>
      </c>
      <c r="AE60" s="8">
        <f>BG21-BK21</f>
        <v>66</v>
      </c>
      <c r="AF60" s="8">
        <f>BI21-BM21</f>
        <v>5</v>
      </c>
      <c r="AG60" s="8">
        <f>BK21-BO21</f>
        <v>46</v>
      </c>
      <c r="AH60" s="8">
        <f>BM21-BQ21</f>
        <v>5</v>
      </c>
      <c r="AI60" s="8">
        <f>BO21-BS21</f>
        <v>93</v>
      </c>
      <c r="AJ60" s="8">
        <f>BQ21-BU21</f>
        <v>2</v>
      </c>
      <c r="AK60" s="8">
        <f>BS21-BW21</f>
        <v>73</v>
      </c>
      <c r="AL60" s="105">
        <f>BU21-BY21</f>
        <v>0</v>
      </c>
      <c r="AM60" s="8">
        <f>BW21-CA21</f>
        <v>62</v>
      </c>
      <c r="AN60" s="105">
        <f>BY21-CC21</f>
        <v>0</v>
      </c>
      <c r="AO60" s="8">
        <f>CA21-CE21</f>
        <v>83</v>
      </c>
      <c r="AP60" s="105">
        <f>CC21-CG21</f>
        <v>0</v>
      </c>
      <c r="AQ60" s="8">
        <f>CE21-CI21</f>
        <v>45</v>
      </c>
      <c r="AR60" s="105">
        <f>CG21-CK21</f>
        <v>0</v>
      </c>
      <c r="AS60" s="8">
        <f>CI21-CM21</f>
        <v>64</v>
      </c>
      <c r="AT60" s="105">
        <f>CK21-CO21</f>
        <v>0</v>
      </c>
      <c r="AU60" s="8">
        <f>CM21-CQ21</f>
        <v>56</v>
      </c>
      <c r="AV60" s="8">
        <f>CO21-CS21</f>
        <v>1</v>
      </c>
      <c r="AW60" s="8">
        <f>CQ21-CU21</f>
        <v>55</v>
      </c>
      <c r="AX60" s="105">
        <f>CS21-CW21</f>
        <v>0</v>
      </c>
      <c r="AY60" s="9">
        <f>CU21-CY21</f>
        <v>58</v>
      </c>
      <c r="AZ60" s="9">
        <f>CW21-DA21</f>
        <v>1</v>
      </c>
      <c r="BA60" s="9">
        <f>CY21-DC21</f>
        <v>69</v>
      </c>
      <c r="BB60" s="9">
        <f>DA21-DE21</f>
        <v>1</v>
      </c>
      <c r="BC60" s="9">
        <f>DC21-DG21</f>
        <v>53</v>
      </c>
      <c r="BD60" s="106">
        <f>DE21-DI21</f>
        <v>0</v>
      </c>
      <c r="BR60" s="7"/>
      <c r="BV60" s="1"/>
      <c r="DM60" s="5"/>
      <c r="DN60" s="5"/>
      <c r="DV60" s="1"/>
      <c r="DW60" s="6"/>
      <c r="EE60" s="1"/>
    </row>
    <row r="61" spans="2:135" ht="15" thickBot="1" x14ac:dyDescent="0.25">
      <c r="B61" s="195" t="s">
        <v>13</v>
      </c>
      <c r="C61" s="25">
        <f t="shared" si="92"/>
        <v>32</v>
      </c>
      <c r="D61" s="25">
        <f t="shared" si="93"/>
        <v>3</v>
      </c>
      <c r="E61" s="25">
        <f>G22-K22</f>
        <v>59</v>
      </c>
      <c r="F61" s="104">
        <f>I22-M22</f>
        <v>0</v>
      </c>
      <c r="G61" s="25">
        <f>K22-O22</f>
        <v>74</v>
      </c>
      <c r="H61" s="25">
        <f>M22-Q22</f>
        <v>4</v>
      </c>
      <c r="I61" s="25">
        <f>O22-S22</f>
        <v>51</v>
      </c>
      <c r="J61" s="104">
        <f>Q22-U22</f>
        <v>0</v>
      </c>
      <c r="K61" s="176">
        <f>S22-W22</f>
        <v>86</v>
      </c>
      <c r="L61" s="104">
        <f>U22-Y22</f>
        <v>0</v>
      </c>
      <c r="M61" s="25">
        <f>W22-AA22</f>
        <v>22</v>
      </c>
      <c r="N61" s="104">
        <f>Y22-AC22</f>
        <v>0</v>
      </c>
      <c r="O61" s="25">
        <f>AA22-AE22</f>
        <v>65</v>
      </c>
      <c r="P61" s="104">
        <f>AC22-AG22</f>
        <v>0</v>
      </c>
      <c r="Q61" s="25">
        <f>AE22-AI22</f>
        <v>63</v>
      </c>
      <c r="R61" s="25">
        <f>AG22-AK22</f>
        <v>1</v>
      </c>
      <c r="S61" s="25">
        <f>AI22-AM22</f>
        <v>75</v>
      </c>
      <c r="T61" s="25">
        <f>AK22-AO22</f>
        <v>1</v>
      </c>
      <c r="U61" s="25">
        <f>AM22-AQ22</f>
        <v>56</v>
      </c>
      <c r="V61" s="104">
        <f>AO22-AS22</f>
        <v>0</v>
      </c>
      <c r="W61" s="8">
        <f>AQ22-AU22</f>
        <v>37</v>
      </c>
      <c r="X61" s="8">
        <f>AS22-AW22</f>
        <v>3</v>
      </c>
      <c r="Y61" s="8">
        <f>AU22-AY22</f>
        <v>26</v>
      </c>
      <c r="Z61" s="8">
        <f>AW22-BA22</f>
        <v>1</v>
      </c>
      <c r="AA61" s="8">
        <f>AY22-BC22</f>
        <v>27</v>
      </c>
      <c r="AB61" s="103">
        <f>BA22-BE22</f>
        <v>0</v>
      </c>
      <c r="AC61" s="8">
        <f>AY22-BG22</f>
        <v>57</v>
      </c>
      <c r="AD61" s="103">
        <f>BE22-BI22</f>
        <v>0</v>
      </c>
      <c r="AE61" s="8">
        <f>BG22-BK22</f>
        <v>40</v>
      </c>
      <c r="AF61" s="105">
        <f>BI22-BM22</f>
        <v>0</v>
      </c>
      <c r="AG61" s="8">
        <f>BK22-BO22</f>
        <v>29</v>
      </c>
      <c r="AH61" s="105">
        <f>BM22-BQ22</f>
        <v>0</v>
      </c>
      <c r="AI61" s="8">
        <f>BO22-BS22</f>
        <v>30</v>
      </c>
      <c r="AJ61" s="8">
        <f>BQ22-BU22</f>
        <v>1</v>
      </c>
      <c r="AK61" s="8">
        <f>BS22-BW22</f>
        <v>17</v>
      </c>
      <c r="AL61" s="105">
        <f>BU22-BY22</f>
        <v>0</v>
      </c>
      <c r="AM61" s="8">
        <f>BW22-CA22</f>
        <v>18</v>
      </c>
      <c r="AN61" s="105">
        <f>BY22-CC22</f>
        <v>0</v>
      </c>
      <c r="AO61" s="8">
        <f>CA22-CE22</f>
        <v>14</v>
      </c>
      <c r="AP61" s="105">
        <f>CC22-CG22</f>
        <v>0</v>
      </c>
      <c r="AQ61" s="8">
        <f>CE22-CI22</f>
        <v>13</v>
      </c>
      <c r="AR61" s="105">
        <f>CG22-CK22</f>
        <v>0</v>
      </c>
      <c r="AS61" s="8">
        <f>CI22-CM22</f>
        <v>22</v>
      </c>
      <c r="AT61" s="105">
        <f>CK22-CO22</f>
        <v>0</v>
      </c>
      <c r="AU61" s="8">
        <f>CM22-CQ22</f>
        <v>14</v>
      </c>
      <c r="AV61" s="8">
        <f>CO22-CS22</f>
        <v>3</v>
      </c>
      <c r="AW61" s="8">
        <f>CQ22-CU22</f>
        <v>77</v>
      </c>
      <c r="AX61" s="8">
        <f>CS22-CW22</f>
        <v>1</v>
      </c>
      <c r="AY61" s="9">
        <f>CU22-CY22</f>
        <v>40</v>
      </c>
      <c r="AZ61" s="9">
        <f>CW22-DA22</f>
        <v>2</v>
      </c>
      <c r="BA61" s="9">
        <f>CY22-DC22</f>
        <v>54</v>
      </c>
      <c r="BB61" s="9">
        <f>DA22-DE22</f>
        <v>3</v>
      </c>
      <c r="BC61" s="9">
        <f>DC22-DG22</f>
        <v>30</v>
      </c>
      <c r="BD61" s="11">
        <f>DE22-DI22</f>
        <v>2</v>
      </c>
      <c r="BR61" s="7"/>
      <c r="BV61" s="1"/>
      <c r="DM61" s="5"/>
      <c r="DN61" s="5"/>
      <c r="DV61" s="1"/>
      <c r="DW61" s="6"/>
      <c r="EE61" s="1"/>
    </row>
    <row r="62" spans="2:135" x14ac:dyDescent="0.2">
      <c r="B62" s="195" t="s">
        <v>14</v>
      </c>
      <c r="C62" s="25">
        <f t="shared" si="92"/>
        <v>26</v>
      </c>
      <c r="D62" s="25">
        <f t="shared" si="93"/>
        <v>2</v>
      </c>
      <c r="E62" s="25">
        <f>G23-K23</f>
        <v>25</v>
      </c>
      <c r="F62" s="104">
        <f>I23-M23</f>
        <v>0</v>
      </c>
      <c r="G62" s="25">
        <f>K23-O23</f>
        <v>25</v>
      </c>
      <c r="H62" s="25">
        <f>M23-Q23</f>
        <v>1</v>
      </c>
      <c r="I62" s="25">
        <f>O23-S23</f>
        <v>15</v>
      </c>
      <c r="J62" s="104">
        <f>Q23-U23</f>
        <v>0</v>
      </c>
      <c r="K62" s="25">
        <f>S23-W23</f>
        <v>63</v>
      </c>
      <c r="L62" s="25">
        <f>U23-Y23</f>
        <v>1</v>
      </c>
      <c r="M62" s="25">
        <f>W23-AA23</f>
        <v>22</v>
      </c>
      <c r="N62" s="25">
        <f>Y23-AC23</f>
        <v>1</v>
      </c>
      <c r="O62" s="25">
        <f>AA23-AE23</f>
        <v>32</v>
      </c>
      <c r="P62" s="25">
        <f>AC23-AG23</f>
        <v>2</v>
      </c>
      <c r="Q62" s="25">
        <f>AE23-AI23</f>
        <v>9</v>
      </c>
      <c r="R62" s="25">
        <f>AG23-AK23</f>
        <v>3</v>
      </c>
      <c r="S62" s="25">
        <f>AI23-AM23</f>
        <v>26</v>
      </c>
      <c r="T62" s="104">
        <f>AK23-AO23</f>
        <v>0</v>
      </c>
      <c r="U62" s="25">
        <f>AM23-AQ23</f>
        <v>13</v>
      </c>
      <c r="V62" s="104">
        <f>AO23-AS23</f>
        <v>0</v>
      </c>
      <c r="W62" s="8">
        <f>AQ23-AU23</f>
        <v>12</v>
      </c>
      <c r="X62" s="103">
        <f>AS23-AW23</f>
        <v>0</v>
      </c>
      <c r="Y62" s="8">
        <f>AU23-AY23</f>
        <v>3</v>
      </c>
      <c r="Z62" s="103">
        <f>AW23-BA23</f>
        <v>0</v>
      </c>
      <c r="AA62" s="8">
        <f>AY23-BC23</f>
        <v>3</v>
      </c>
      <c r="AB62" s="8">
        <f>BA23-BE23</f>
        <v>1</v>
      </c>
      <c r="AC62" s="8">
        <f>AY23-BG23</f>
        <v>7</v>
      </c>
      <c r="AD62" s="103">
        <f>BE23-BI23</f>
        <v>0</v>
      </c>
      <c r="AE62" s="8">
        <f>BG23-BK23</f>
        <v>32</v>
      </c>
      <c r="AF62" s="105">
        <f>BI23-BM23</f>
        <v>0</v>
      </c>
      <c r="AG62" s="8">
        <f>BK23-BO23</f>
        <v>2</v>
      </c>
      <c r="AH62" s="105">
        <f>BM23-BQ23</f>
        <v>0</v>
      </c>
      <c r="AI62" s="8">
        <f>BO23-BS23</f>
        <v>24</v>
      </c>
      <c r="AJ62" s="105">
        <f>BQ23-BU23</f>
        <v>0</v>
      </c>
      <c r="AK62" s="8">
        <f>BS23-BW23</f>
        <v>36</v>
      </c>
      <c r="AL62" s="105">
        <f>BU23-BY23</f>
        <v>0</v>
      </c>
      <c r="AM62" s="8">
        <f>BW23-CA23</f>
        <v>46</v>
      </c>
      <c r="AN62" s="105">
        <f>BY23-CC23</f>
        <v>0</v>
      </c>
      <c r="AO62" s="8">
        <f>CA23-CE23</f>
        <v>42</v>
      </c>
      <c r="AP62" s="105">
        <f>CC23-CG23</f>
        <v>0</v>
      </c>
      <c r="AQ62" s="8">
        <f>CE23-CI23</f>
        <v>82</v>
      </c>
      <c r="AR62" s="105">
        <f>CG23-CK23</f>
        <v>0</v>
      </c>
      <c r="AS62" s="8">
        <f>CI23-CM23</f>
        <v>55</v>
      </c>
      <c r="AT62" s="105">
        <f>CK23-CO23</f>
        <v>0</v>
      </c>
      <c r="AU62" s="8">
        <f>CM23-CQ23</f>
        <v>38</v>
      </c>
      <c r="AV62" s="105">
        <f>CO23-CS23</f>
        <v>0</v>
      </c>
      <c r="AW62" s="8">
        <f>CQ23-CU23</f>
        <v>15</v>
      </c>
      <c r="AX62" s="8">
        <f>CS23-CW23</f>
        <v>1</v>
      </c>
      <c r="AY62" s="9">
        <f>CU23-CY23</f>
        <v>41</v>
      </c>
      <c r="AZ62" s="9">
        <f>CW23-DA23</f>
        <v>2</v>
      </c>
      <c r="BA62" s="9">
        <f>CY23-DC23</f>
        <v>17</v>
      </c>
      <c r="BB62" s="9">
        <f>DA23-DE23</f>
        <v>3</v>
      </c>
      <c r="BC62" s="9">
        <f>DC23-DG23</f>
        <v>18</v>
      </c>
      <c r="BD62" s="11">
        <f>DE23-DI23</f>
        <v>11</v>
      </c>
      <c r="BR62" s="7"/>
      <c r="BV62" s="1"/>
      <c r="DM62" s="5"/>
      <c r="DN62" s="5"/>
      <c r="DV62" s="1"/>
      <c r="DW62" s="6"/>
      <c r="EE62" s="1"/>
    </row>
    <row r="63" spans="2:135" x14ac:dyDescent="0.2">
      <c r="B63" s="195" t="s">
        <v>15</v>
      </c>
      <c r="C63" s="25">
        <f t="shared" si="92"/>
        <v>27</v>
      </c>
      <c r="D63" s="25">
        <f t="shared" si="93"/>
        <v>2</v>
      </c>
      <c r="E63" s="25">
        <f>G24-K24</f>
        <v>28</v>
      </c>
      <c r="F63" s="104">
        <f>I24-M24</f>
        <v>0</v>
      </c>
      <c r="G63" s="25">
        <f>K24-O24</f>
        <v>60</v>
      </c>
      <c r="H63" s="104">
        <f>M24-Q24</f>
        <v>0</v>
      </c>
      <c r="I63" s="25">
        <f>O24-S24</f>
        <v>9</v>
      </c>
      <c r="J63" s="104">
        <f>Q24-U24</f>
        <v>0</v>
      </c>
      <c r="K63" s="25">
        <f>S24-W24</f>
        <v>26</v>
      </c>
      <c r="L63" s="104">
        <f>U24-Y24</f>
        <v>0</v>
      </c>
      <c r="M63" s="25">
        <f>W24-AA24</f>
        <v>20</v>
      </c>
      <c r="N63" s="25">
        <f>Y24-AC24</f>
        <v>0</v>
      </c>
      <c r="O63" s="25">
        <f>AA24-AE24</f>
        <v>20</v>
      </c>
      <c r="P63" s="25">
        <f>AC24-AG24</f>
        <v>2</v>
      </c>
      <c r="Q63" s="25">
        <f>AE24-AI24</f>
        <v>40</v>
      </c>
      <c r="R63" s="104">
        <f>AG24-AK24</f>
        <v>0</v>
      </c>
      <c r="S63" s="25">
        <f>AI24-AM24</f>
        <v>31</v>
      </c>
      <c r="T63" s="25">
        <f>AK24-AO24</f>
        <v>1</v>
      </c>
      <c r="U63" s="25">
        <f>AM24-AQ24</f>
        <v>14</v>
      </c>
      <c r="V63" s="25">
        <f>AO24-AS24</f>
        <v>1</v>
      </c>
      <c r="W63" s="8">
        <f>AQ24-AU24</f>
        <v>12</v>
      </c>
      <c r="X63" s="103">
        <f>AS24-AW24</f>
        <v>0</v>
      </c>
      <c r="Y63" s="8">
        <f>AU24-AY24</f>
        <v>27</v>
      </c>
      <c r="Z63" s="8">
        <f>AW24-BA24</f>
        <v>1</v>
      </c>
      <c r="AA63" s="8">
        <f>AY24-BC24</f>
        <v>16</v>
      </c>
      <c r="AB63" s="8">
        <f>BA24-BE24</f>
        <v>1</v>
      </c>
      <c r="AC63" s="8">
        <f>AY24-BG24</f>
        <v>29</v>
      </c>
      <c r="AD63" s="8">
        <f>BE24-BI24</f>
        <v>2</v>
      </c>
      <c r="AE63" s="8">
        <f>BG24-BK24</f>
        <v>9</v>
      </c>
      <c r="AF63" s="8">
        <f>BI24-BM24</f>
        <v>1</v>
      </c>
      <c r="AG63" s="8">
        <f>BK24-BO24</f>
        <v>16</v>
      </c>
      <c r="AH63" s="105">
        <f>BM24-BQ24</f>
        <v>0</v>
      </c>
      <c r="AI63" s="8">
        <f>BO24-BS24</f>
        <v>19</v>
      </c>
      <c r="AJ63" s="105">
        <f>BQ24-BU24</f>
        <v>0</v>
      </c>
      <c r="AK63" s="8">
        <f>BS24-BW24</f>
        <v>21</v>
      </c>
      <c r="AL63" s="105">
        <f>BU24-BY24</f>
        <v>0</v>
      </c>
      <c r="AM63" s="8">
        <f>BW24-CA24</f>
        <v>24</v>
      </c>
      <c r="AN63" s="105">
        <f>BY24-CC24</f>
        <v>0</v>
      </c>
      <c r="AO63" s="8">
        <f>CA24-CE24</f>
        <v>22</v>
      </c>
      <c r="AP63" s="105">
        <f>CC24-CG24</f>
        <v>0</v>
      </c>
      <c r="AQ63" s="8">
        <f>CE24-CI24</f>
        <v>21</v>
      </c>
      <c r="AR63" s="8">
        <f>CG24-CK24</f>
        <v>1</v>
      </c>
      <c r="AS63" s="8">
        <f>CI24-CM24</f>
        <v>10</v>
      </c>
      <c r="AT63" s="8">
        <f>CK24-CO24</f>
        <v>2</v>
      </c>
      <c r="AU63" s="8">
        <f>CM24-CQ24</f>
        <v>14</v>
      </c>
      <c r="AV63" s="8">
        <f>CO24-CS24</f>
        <v>9</v>
      </c>
      <c r="AW63" s="8">
        <f>CQ24-CU24</f>
        <v>83</v>
      </c>
      <c r="AX63" s="8">
        <f>CS24-CW24</f>
        <v>5</v>
      </c>
      <c r="AY63" s="9">
        <f>CU24-CY24</f>
        <v>34</v>
      </c>
      <c r="AZ63" s="9">
        <f>CW24-DA24</f>
        <v>2</v>
      </c>
      <c r="BA63" s="9">
        <f>CY24-DC24</f>
        <v>44</v>
      </c>
      <c r="BB63" s="9">
        <f>DA24-DE24</f>
        <v>1</v>
      </c>
      <c r="BC63" s="9">
        <f>DC24-DG24</f>
        <v>59</v>
      </c>
      <c r="BD63" s="11">
        <f>DE24-DI24</f>
        <v>1</v>
      </c>
      <c r="BR63" s="7"/>
      <c r="BV63" s="1"/>
      <c r="DM63" s="5"/>
      <c r="DN63" s="5"/>
      <c r="DV63" s="1"/>
      <c r="DW63" s="6"/>
      <c r="EE63" s="1"/>
    </row>
    <row r="64" spans="2:135" x14ac:dyDescent="0.2">
      <c r="B64" s="195" t="s">
        <v>16</v>
      </c>
      <c r="C64" s="25">
        <f t="shared" si="92"/>
        <v>2052</v>
      </c>
      <c r="D64" s="25">
        <f t="shared" si="93"/>
        <v>53</v>
      </c>
      <c r="E64" s="25">
        <f>G25-K25</f>
        <v>1842</v>
      </c>
      <c r="F64" s="25">
        <f>I25-M25</f>
        <v>55</v>
      </c>
      <c r="G64" s="25">
        <f>K25-O25</f>
        <v>3978</v>
      </c>
      <c r="H64" s="25">
        <f>M25-Q25</f>
        <v>118</v>
      </c>
      <c r="I64" s="25">
        <f>O25-S25</f>
        <v>2851</v>
      </c>
      <c r="J64" s="25">
        <f>Q25-U25</f>
        <v>28</v>
      </c>
      <c r="K64" s="25">
        <f>S25-W25</f>
        <v>3326</v>
      </c>
      <c r="L64" s="25">
        <f>U25-Y25</f>
        <v>29</v>
      </c>
      <c r="M64" s="25">
        <f>W25-AA25</f>
        <v>2669</v>
      </c>
      <c r="N64" s="25">
        <f>Y25-AC25</f>
        <v>14</v>
      </c>
      <c r="O64" s="25">
        <f>AA25-AE25</f>
        <v>3327</v>
      </c>
      <c r="P64" s="25">
        <f>AC25-AG25</f>
        <v>27</v>
      </c>
      <c r="Q64" s="25">
        <f>AE25-AI25</f>
        <v>3199</v>
      </c>
      <c r="R64" s="25">
        <f>AG25-AK25</f>
        <v>43</v>
      </c>
      <c r="S64" s="25">
        <f>AI25-AM25</f>
        <v>3367</v>
      </c>
      <c r="T64" s="25">
        <f>AK25-AO25</f>
        <v>40</v>
      </c>
      <c r="U64" s="25">
        <f>AM25-AQ25</f>
        <v>1885</v>
      </c>
      <c r="V64" s="25">
        <f>AO25-AS25</f>
        <v>7</v>
      </c>
      <c r="W64" s="8">
        <f>AQ25-AU25</f>
        <v>1596</v>
      </c>
      <c r="X64" s="8">
        <f>AS25-AW25</f>
        <v>3</v>
      </c>
      <c r="Y64" s="8">
        <f>AU25-AY25</f>
        <v>721</v>
      </c>
      <c r="Z64" s="8">
        <f>AW25-BA25</f>
        <v>7</v>
      </c>
      <c r="AA64" s="8">
        <f>AY25-BC25</f>
        <v>1271</v>
      </c>
      <c r="AB64" s="8">
        <f>BA25-BE25</f>
        <v>5</v>
      </c>
      <c r="AC64" s="8">
        <f>AY25-BG25</f>
        <v>2603</v>
      </c>
      <c r="AD64" s="8">
        <f>BE25-BI25</f>
        <v>19</v>
      </c>
      <c r="AE64" s="8">
        <f>BG25-BK25</f>
        <v>1445</v>
      </c>
      <c r="AF64" s="8">
        <f>BI25-BM25</f>
        <v>68</v>
      </c>
      <c r="AG64" s="8">
        <f>BK25-BO25</f>
        <v>2686</v>
      </c>
      <c r="AH64" s="8">
        <f>BM25-BQ25</f>
        <v>68</v>
      </c>
      <c r="AI64" s="8">
        <f>BO25-BS25</f>
        <v>2507</v>
      </c>
      <c r="AJ64" s="8">
        <f>BQ25-BU25</f>
        <v>28</v>
      </c>
      <c r="AK64" s="8">
        <f>BS25-BW25</f>
        <v>2541</v>
      </c>
      <c r="AL64" s="8">
        <f>BU25-BY25</f>
        <v>37</v>
      </c>
      <c r="AM64" s="8">
        <f>BW25-CA25</f>
        <v>2302</v>
      </c>
      <c r="AN64" s="8">
        <f>BY25-CC25</f>
        <v>37</v>
      </c>
      <c r="AO64" s="8">
        <f>CA25-CE25</f>
        <v>4406</v>
      </c>
      <c r="AP64" s="8">
        <f>CC25-CG25</f>
        <v>36</v>
      </c>
      <c r="AQ64" s="8">
        <f>CE25-CI25</f>
        <v>5543</v>
      </c>
      <c r="AR64" s="8">
        <f>CG25-CK25</f>
        <v>47</v>
      </c>
      <c r="AS64" s="8">
        <f>CI25-CM25</f>
        <v>3570</v>
      </c>
      <c r="AT64" s="8">
        <f>CK25-CO25</f>
        <v>31</v>
      </c>
      <c r="AU64" s="8">
        <f>CM25-CQ25</f>
        <v>3940</v>
      </c>
      <c r="AV64" s="8">
        <f>CO25-CS25</f>
        <v>95</v>
      </c>
      <c r="AW64" s="8">
        <f>CQ25-CU25</f>
        <v>3390</v>
      </c>
      <c r="AX64" s="8">
        <f>CS25-CW25</f>
        <v>180</v>
      </c>
      <c r="AY64" s="9">
        <f>CU25-CY25</f>
        <v>5193</v>
      </c>
      <c r="AZ64" s="9">
        <f>CW25-DA25</f>
        <v>96</v>
      </c>
      <c r="BA64" s="9">
        <f>CY25-DC25</f>
        <v>4252</v>
      </c>
      <c r="BB64" s="9">
        <f>DA25-DE25</f>
        <v>80</v>
      </c>
      <c r="BC64" s="9">
        <f>DC25-DG25</f>
        <v>4118</v>
      </c>
      <c r="BD64" s="11">
        <f>DE25-DI25</f>
        <v>238</v>
      </c>
      <c r="BR64" s="7"/>
      <c r="BV64" s="1"/>
      <c r="DM64" s="5"/>
      <c r="DN64" s="5"/>
      <c r="DV64" s="1"/>
      <c r="DW64" s="6"/>
      <c r="EE64" s="1"/>
    </row>
    <row r="65" spans="1:135" x14ac:dyDescent="0.2">
      <c r="B65" s="195" t="s">
        <v>17</v>
      </c>
      <c r="C65" s="25">
        <f t="shared" si="92"/>
        <v>23</v>
      </c>
      <c r="D65" s="104">
        <f t="shared" si="93"/>
        <v>0</v>
      </c>
      <c r="E65" s="25">
        <f>G26-K26</f>
        <v>79</v>
      </c>
      <c r="F65" s="104">
        <f>I26-M26</f>
        <v>0</v>
      </c>
      <c r="G65" s="25">
        <f>K26-O26</f>
        <v>106</v>
      </c>
      <c r="H65" s="104">
        <f>M26-Q26</f>
        <v>0</v>
      </c>
      <c r="I65" s="25">
        <f>O26-S26</f>
        <v>120</v>
      </c>
      <c r="J65" s="104">
        <f>Q26-U26</f>
        <v>0</v>
      </c>
      <c r="K65" s="25">
        <f>S26-W26</f>
        <v>59</v>
      </c>
      <c r="L65" s="25">
        <f>U26-Y26</f>
        <v>2</v>
      </c>
      <c r="M65" s="25">
        <f>W26-AA26</f>
        <v>35</v>
      </c>
      <c r="N65" s="25">
        <f>Y26-AC26</f>
        <v>1</v>
      </c>
      <c r="O65" s="25">
        <f>AA26-AE26</f>
        <v>66</v>
      </c>
      <c r="P65" s="25">
        <f>AC26-AG26</f>
        <v>1</v>
      </c>
      <c r="Q65" s="25">
        <f>AE26-AI26</f>
        <v>58</v>
      </c>
      <c r="R65" s="25">
        <f>AG26-AK26</f>
        <v>14</v>
      </c>
      <c r="S65" s="25">
        <f>AI26-AM26</f>
        <v>167</v>
      </c>
      <c r="T65" s="25">
        <f>AK26-AO26</f>
        <v>3</v>
      </c>
      <c r="U65" s="25">
        <f>AM26-AQ26</f>
        <v>83</v>
      </c>
      <c r="V65" s="25">
        <f>AO26-AS26</f>
        <v>4</v>
      </c>
      <c r="W65" s="8">
        <f>AQ26-AU26</f>
        <v>89</v>
      </c>
      <c r="X65" s="8">
        <f>AS26-AW26</f>
        <v>2</v>
      </c>
      <c r="Y65" s="8">
        <f>AU26-AY26</f>
        <v>67</v>
      </c>
      <c r="Z65" s="103">
        <f>AW26-BA26</f>
        <v>0</v>
      </c>
      <c r="AA65" s="8">
        <f>AY26-BC26</f>
        <v>99</v>
      </c>
      <c r="AB65" s="103">
        <f>BA26-BE26</f>
        <v>0</v>
      </c>
      <c r="AC65" s="8">
        <f>AY26-BG26</f>
        <v>284</v>
      </c>
      <c r="AD65" s="8">
        <f>BE26-BI26</f>
        <v>1</v>
      </c>
      <c r="AE65" s="8">
        <f>BG26-BK26</f>
        <v>103</v>
      </c>
      <c r="AF65" s="8">
        <f>BI26-BM26</f>
        <v>2</v>
      </c>
      <c r="AG65" s="8">
        <f>BK26-BO26</f>
        <v>225</v>
      </c>
      <c r="AH65" s="8">
        <f>BM26-BQ26</f>
        <v>6</v>
      </c>
      <c r="AI65" s="8">
        <f>BO26-BS26</f>
        <v>42</v>
      </c>
      <c r="AJ65" s="8">
        <f>BQ26-BU26</f>
        <v>12</v>
      </c>
      <c r="AK65" s="8">
        <f>BS26-BW26</f>
        <v>47</v>
      </c>
      <c r="AL65" s="105">
        <f>BU26-BY26</f>
        <v>0</v>
      </c>
      <c r="AM65" s="8">
        <f>BW26-CA26</f>
        <v>76</v>
      </c>
      <c r="AN65" s="105">
        <f>BY26-CC26</f>
        <v>0</v>
      </c>
      <c r="AO65" s="8">
        <f>CA26-CE26</f>
        <v>114</v>
      </c>
      <c r="AP65" s="105">
        <f>CC26-CG26</f>
        <v>0</v>
      </c>
      <c r="AQ65" s="8">
        <f>CE26-CI26</f>
        <v>57</v>
      </c>
      <c r="AR65" s="105">
        <f>CG26-CK26</f>
        <v>0</v>
      </c>
      <c r="AS65" s="8">
        <f>CI26-CM26</f>
        <v>45</v>
      </c>
      <c r="AT65" s="105">
        <f>CK26-CO26</f>
        <v>0</v>
      </c>
      <c r="AU65" s="8">
        <f>CM26-CQ26</f>
        <v>24</v>
      </c>
      <c r="AV65" s="8">
        <f>CO26-CS26</f>
        <v>1</v>
      </c>
      <c r="AW65" s="8">
        <f>CQ26-CU26</f>
        <v>25</v>
      </c>
      <c r="AX65" s="8">
        <f>CS26-CW26</f>
        <v>3</v>
      </c>
      <c r="AY65" s="9">
        <f>CU26-CY26</f>
        <v>28</v>
      </c>
      <c r="AZ65" s="9">
        <f>CW26-DA26</f>
        <v>4</v>
      </c>
      <c r="BA65" s="9">
        <f>CY26-DC26</f>
        <v>7</v>
      </c>
      <c r="BB65" s="9">
        <f>DA26-DE26</f>
        <v>2</v>
      </c>
      <c r="BC65" s="9">
        <f>DC26-DG26</f>
        <v>112</v>
      </c>
      <c r="BD65" s="11">
        <f>DE26-DI26</f>
        <v>4</v>
      </c>
      <c r="BR65" s="7"/>
      <c r="BV65" s="1"/>
      <c r="DM65" s="5"/>
      <c r="DN65" s="5"/>
      <c r="DV65" s="1"/>
      <c r="DW65" s="6"/>
      <c r="EE65" s="1"/>
    </row>
    <row r="66" spans="1:135" x14ac:dyDescent="0.2">
      <c r="B66" s="195" t="s">
        <v>18</v>
      </c>
      <c r="C66" s="25">
        <f t="shared" si="92"/>
        <v>292</v>
      </c>
      <c r="D66" s="25">
        <f t="shared" si="93"/>
        <v>12</v>
      </c>
      <c r="E66" s="25">
        <f>G27-K27</f>
        <v>379</v>
      </c>
      <c r="F66" s="25">
        <f>I27-M27</f>
        <v>20</v>
      </c>
      <c r="G66" s="25">
        <f>K27-O27</f>
        <v>471</v>
      </c>
      <c r="H66" s="25">
        <f>M27-Q27</f>
        <v>14</v>
      </c>
      <c r="I66" s="25">
        <f>O27-S27</f>
        <v>185</v>
      </c>
      <c r="J66" s="25">
        <f>Q27-U27</f>
        <v>16</v>
      </c>
      <c r="K66" s="25">
        <f>S27-W27</f>
        <v>126</v>
      </c>
      <c r="L66" s="25">
        <f>U27-Y27</f>
        <v>14</v>
      </c>
      <c r="M66" s="25">
        <f>W27-AA27</f>
        <v>253</v>
      </c>
      <c r="N66" s="25">
        <f>Y27-AC27</f>
        <v>6</v>
      </c>
      <c r="O66" s="25">
        <f>AA27-AE27</f>
        <v>174</v>
      </c>
      <c r="P66" s="25">
        <f>AC27-AG27</f>
        <v>13</v>
      </c>
      <c r="Q66" s="25">
        <f>AE27-AI27</f>
        <v>257</v>
      </c>
      <c r="R66" s="25">
        <f>AG27-AK27</f>
        <v>8</v>
      </c>
      <c r="S66" s="25">
        <f>AI27-AM27</f>
        <v>278</v>
      </c>
      <c r="T66" s="25">
        <f>AK27-AO27</f>
        <v>10</v>
      </c>
      <c r="U66" s="25">
        <f>AM27-AQ27</f>
        <v>145</v>
      </c>
      <c r="V66" s="25">
        <f>AO27-AS27</f>
        <v>9</v>
      </c>
      <c r="W66" s="8">
        <f>AQ27-AU27</f>
        <v>108</v>
      </c>
      <c r="X66" s="8">
        <f>AS27-AW27</f>
        <v>2</v>
      </c>
      <c r="Y66" s="8">
        <f>AU27-AY27</f>
        <v>44</v>
      </c>
      <c r="Z66" s="8">
        <f>AW27-BA27</f>
        <v>1</v>
      </c>
      <c r="AA66" s="8">
        <f>AY27-BC27</f>
        <v>34</v>
      </c>
      <c r="AB66" s="8">
        <f>BA27-BE27</f>
        <v>2</v>
      </c>
      <c r="AC66" s="8">
        <f>AY27-BG27</f>
        <v>88</v>
      </c>
      <c r="AD66" s="8">
        <f>BE27-BI27</f>
        <v>1</v>
      </c>
      <c r="AE66" s="8">
        <f>BG27-BK27</f>
        <v>174</v>
      </c>
      <c r="AF66" s="8">
        <f>BI27-BM27</f>
        <v>3</v>
      </c>
      <c r="AG66" s="8">
        <f>BK27-BO27</f>
        <v>63</v>
      </c>
      <c r="AH66" s="8">
        <f>BM27-BQ27</f>
        <v>1</v>
      </c>
      <c r="AI66" s="8">
        <f>BO27-BS27</f>
        <v>49</v>
      </c>
      <c r="AJ66" s="8">
        <f>BQ27-BU27</f>
        <v>1</v>
      </c>
      <c r="AK66" s="8">
        <f>BS27-BW27</f>
        <v>61</v>
      </c>
      <c r="AL66" s="8">
        <f>BU27-BY27</f>
        <v>3</v>
      </c>
      <c r="AM66" s="8">
        <f>BW27-CA27</f>
        <v>49</v>
      </c>
      <c r="AN66" s="8">
        <f>BY27-CC27</f>
        <v>1</v>
      </c>
      <c r="AO66" s="8">
        <f>CA27-CE27</f>
        <v>100</v>
      </c>
      <c r="AP66" s="8">
        <f>CC27-CG27</f>
        <v>2</v>
      </c>
      <c r="AQ66" s="8">
        <f>CE27-CI27</f>
        <v>75</v>
      </c>
      <c r="AR66" s="8">
        <f>CG27-CK27</f>
        <v>8</v>
      </c>
      <c r="AS66" s="8">
        <f>CI27-CM27</f>
        <v>111</v>
      </c>
      <c r="AT66" s="8">
        <f>CK27-CO27</f>
        <v>6</v>
      </c>
      <c r="AU66" s="8">
        <f>CM27-CQ27</f>
        <v>55</v>
      </c>
      <c r="AV66" s="8">
        <f>CO27-CS27</f>
        <v>14</v>
      </c>
      <c r="AW66" s="8">
        <f>CQ27-CU27</f>
        <v>89</v>
      </c>
      <c r="AX66" s="8">
        <f>CS27-CW27</f>
        <v>3</v>
      </c>
      <c r="AY66" s="9">
        <f>CU27-CY27</f>
        <v>101</v>
      </c>
      <c r="AZ66" s="9">
        <f>CW27-DA27</f>
        <v>2</v>
      </c>
      <c r="BA66" s="9">
        <f>CY27-DC27</f>
        <v>48</v>
      </c>
      <c r="BB66" s="9">
        <f>DA27-DE27</f>
        <v>9</v>
      </c>
      <c r="BC66" s="9">
        <f>DC27-DG27</f>
        <v>134</v>
      </c>
      <c r="BD66" s="11">
        <f>DE27-DI27</f>
        <v>6</v>
      </c>
      <c r="BR66" s="7"/>
      <c r="BV66" s="1"/>
      <c r="DM66" s="5"/>
      <c r="DN66" s="5"/>
      <c r="DV66" s="1"/>
      <c r="DW66" s="6"/>
      <c r="EE66" s="1"/>
    </row>
    <row r="67" spans="1:135" x14ac:dyDescent="0.2">
      <c r="B67" s="195" t="s">
        <v>19</v>
      </c>
      <c r="C67" s="25">
        <f t="shared" si="92"/>
        <v>74</v>
      </c>
      <c r="D67" s="25">
        <f t="shared" si="93"/>
        <v>3</v>
      </c>
      <c r="E67" s="25">
        <f>G28-K28</f>
        <v>79</v>
      </c>
      <c r="F67" s="25">
        <f>I28-M28</f>
        <v>1</v>
      </c>
      <c r="G67" s="25">
        <f>K28-O28</f>
        <v>84</v>
      </c>
      <c r="H67" s="25">
        <f>M28-Q28</f>
        <v>1</v>
      </c>
      <c r="I67" s="25">
        <f>O28-S28</f>
        <v>31</v>
      </c>
      <c r="J67" s="104">
        <f>Q28-U28</f>
        <v>0</v>
      </c>
      <c r="K67" s="25">
        <f>S28-W28</f>
        <v>34</v>
      </c>
      <c r="L67" s="104">
        <f>U28-Y28</f>
        <v>0</v>
      </c>
      <c r="M67" s="25">
        <f>W28-AA28</f>
        <v>37</v>
      </c>
      <c r="N67" s="104">
        <f>Y28-AC28</f>
        <v>0</v>
      </c>
      <c r="O67" s="25">
        <f>AA28-AE28</f>
        <v>58</v>
      </c>
      <c r="P67" s="25">
        <f>AC28-AG28</f>
        <v>1</v>
      </c>
      <c r="Q67" s="25">
        <f>AE28-AI28</f>
        <v>91</v>
      </c>
      <c r="R67" s="25">
        <f>AG28-AK28</f>
        <v>6</v>
      </c>
      <c r="S67" s="25">
        <f>AI28-AM28</f>
        <v>32</v>
      </c>
      <c r="T67" s="25">
        <f>AK28-AO28</f>
        <v>1</v>
      </c>
      <c r="U67" s="25">
        <f>AM28-AQ28</f>
        <v>28</v>
      </c>
      <c r="V67" s="25">
        <f>AO28-AS28</f>
        <v>2</v>
      </c>
      <c r="W67" s="8">
        <f>AQ28-AU28</f>
        <v>47</v>
      </c>
      <c r="X67" s="103">
        <f>AS28-AW28</f>
        <v>0</v>
      </c>
      <c r="Y67" s="8">
        <f>AU28-AY28</f>
        <v>12</v>
      </c>
      <c r="Z67" s="103">
        <f>AW28-BA28</f>
        <v>0</v>
      </c>
      <c r="AA67" s="8">
        <f>AY28-BC28</f>
        <v>39</v>
      </c>
      <c r="AB67" s="103">
        <f>BA28-BE28</f>
        <v>0</v>
      </c>
      <c r="AC67" s="8">
        <f>AY28-BG28</f>
        <v>64</v>
      </c>
      <c r="AD67" s="8">
        <f>BE28-BI28</f>
        <v>1</v>
      </c>
      <c r="AE67" s="8">
        <f>BG28-BK28</f>
        <v>16</v>
      </c>
      <c r="AF67" s="8">
        <f>BI28-BM28</f>
        <v>1</v>
      </c>
      <c r="AG67" s="8">
        <f>BK28-BO28</f>
        <v>26</v>
      </c>
      <c r="AH67" s="8">
        <f>BM28-BQ28</f>
        <v>2</v>
      </c>
      <c r="AI67" s="8">
        <f>BO28-BS28</f>
        <v>35</v>
      </c>
      <c r="AJ67" s="8">
        <f>BQ28-BU28</f>
        <v>1</v>
      </c>
      <c r="AK67" s="8">
        <f>BS28-BW28</f>
        <v>27</v>
      </c>
      <c r="AL67" s="8">
        <f>BU28-BY28</f>
        <v>1</v>
      </c>
      <c r="AM67" s="8">
        <f>BW28-CA28</f>
        <v>42</v>
      </c>
      <c r="AN67" s="8">
        <f>BY28-CC28</f>
        <v>1</v>
      </c>
      <c r="AO67" s="8">
        <f>CA28-CE28</f>
        <v>44</v>
      </c>
      <c r="AP67" s="105">
        <f>CC28-CG28</f>
        <v>0</v>
      </c>
      <c r="AQ67" s="8">
        <f>CE28-CI28</f>
        <v>47</v>
      </c>
      <c r="AR67" s="8">
        <f>CG28-CK28</f>
        <v>1</v>
      </c>
      <c r="AS67" s="8">
        <f>CI28-CM28</f>
        <v>47</v>
      </c>
      <c r="AT67" s="105">
        <f>CK28-CO28</f>
        <v>0</v>
      </c>
      <c r="AU67" s="8">
        <f>CM28-CQ28</f>
        <v>38</v>
      </c>
      <c r="AV67" s="8">
        <f>CO28-CS28</f>
        <v>1</v>
      </c>
      <c r="AW67" s="8">
        <f>CQ28-CU28</f>
        <v>48</v>
      </c>
      <c r="AX67" s="105">
        <f>CS28-CW28</f>
        <v>0</v>
      </c>
      <c r="AY67" s="9">
        <f>CU28-CY28</f>
        <v>32</v>
      </c>
      <c r="AZ67" s="9">
        <f>CW28-DA28</f>
        <v>1</v>
      </c>
      <c r="BA67" s="9">
        <f>CY28-DC28</f>
        <v>96</v>
      </c>
      <c r="BB67" s="9">
        <f>DA28-DE28</f>
        <v>1</v>
      </c>
      <c r="BC67" s="9">
        <f>DC28-DG28</f>
        <v>67</v>
      </c>
      <c r="BD67" s="11">
        <f>DE28-DI28</f>
        <v>1</v>
      </c>
      <c r="BR67" s="7"/>
      <c r="BV67" s="1"/>
      <c r="DM67" s="5"/>
      <c r="DN67" s="5"/>
      <c r="DV67" s="1"/>
      <c r="DW67" s="6"/>
      <c r="EE67" s="1"/>
    </row>
    <row r="68" spans="1:135" x14ac:dyDescent="0.2">
      <c r="B68" s="195" t="s">
        <v>20</v>
      </c>
      <c r="C68" s="25">
        <f t="shared" si="92"/>
        <v>150</v>
      </c>
      <c r="D68" s="25">
        <f t="shared" si="93"/>
        <v>1</v>
      </c>
      <c r="E68" s="25">
        <f>G29-K29</f>
        <v>171</v>
      </c>
      <c r="F68" s="25">
        <f>I29-M29</f>
        <v>1</v>
      </c>
      <c r="G68" s="25">
        <f>K29-O29</f>
        <v>361</v>
      </c>
      <c r="H68" s="25">
        <f>M29-Q29</f>
        <v>1</v>
      </c>
      <c r="I68" s="25">
        <f>O29-S29</f>
        <v>118</v>
      </c>
      <c r="J68" s="25">
        <f>Q29-U29</f>
        <v>8</v>
      </c>
      <c r="K68" s="25">
        <f>S29-W29</f>
        <v>267</v>
      </c>
      <c r="L68" s="25">
        <f>U29-Y29</f>
        <v>19</v>
      </c>
      <c r="M68" s="25">
        <f>W29-AA29</f>
        <v>376</v>
      </c>
      <c r="N68" s="25">
        <f>Y29-AC29</f>
        <v>18</v>
      </c>
      <c r="O68" s="25">
        <f>AA29-AE29</f>
        <v>319</v>
      </c>
      <c r="P68" s="25">
        <f>AC29-AG29</f>
        <v>18</v>
      </c>
      <c r="Q68" s="25">
        <f>AE29-AI29</f>
        <v>464</v>
      </c>
      <c r="R68" s="25">
        <f>AG29-AK29</f>
        <v>29</v>
      </c>
      <c r="S68" s="25">
        <f>AI29-AM29</f>
        <v>435</v>
      </c>
      <c r="T68" s="25">
        <f>AK29-AO29</f>
        <v>5</v>
      </c>
      <c r="U68" s="25">
        <f>AM29-AQ29</f>
        <v>298</v>
      </c>
      <c r="V68" s="25">
        <f>AO29-AS29</f>
        <v>19</v>
      </c>
      <c r="W68" s="8">
        <f>AQ29-AU29</f>
        <v>256</v>
      </c>
      <c r="X68" s="8">
        <f>AS29-AW29</f>
        <v>1</v>
      </c>
      <c r="Y68" s="8">
        <f>AU29-AY29</f>
        <v>174</v>
      </c>
      <c r="Z68" s="8">
        <f>AW29-BA29</f>
        <v>1</v>
      </c>
      <c r="AA68" s="8">
        <f>AY29-BC29</f>
        <v>177</v>
      </c>
      <c r="AB68" s="8">
        <f>BA29-BE29</f>
        <v>3</v>
      </c>
      <c r="AC68" s="8">
        <f>AY29-BG29</f>
        <v>256</v>
      </c>
      <c r="AD68" s="8">
        <f>BE29-BI29</f>
        <v>6</v>
      </c>
      <c r="AE68" s="8">
        <f>BG29-BK29</f>
        <v>224</v>
      </c>
      <c r="AF68" s="8">
        <f>BI29-BM29</f>
        <v>56</v>
      </c>
      <c r="AG68" s="8">
        <f>BK29-BO29</f>
        <v>200</v>
      </c>
      <c r="AH68" s="8">
        <f>BM29-BQ29</f>
        <v>15</v>
      </c>
      <c r="AI68" s="8">
        <f>BO29-BS29</f>
        <v>153</v>
      </c>
      <c r="AJ68" s="8">
        <f>BQ29-BU29</f>
        <v>53</v>
      </c>
      <c r="AK68" s="8">
        <f>BS29-BW29</f>
        <v>123</v>
      </c>
      <c r="AL68" s="8">
        <f>BU29-BY29</f>
        <v>5</v>
      </c>
      <c r="AM68" s="8">
        <f>BW29-CA29</f>
        <v>1073</v>
      </c>
      <c r="AN68" s="8">
        <f>BY29-CC29</f>
        <v>2</v>
      </c>
      <c r="AO68" s="8">
        <f>CA29-CE29</f>
        <v>122</v>
      </c>
      <c r="AP68" s="8">
        <f>CC29-CG29</f>
        <v>7</v>
      </c>
      <c r="AQ68" s="8">
        <f>CE29-CI29</f>
        <v>85</v>
      </c>
      <c r="AR68" s="8">
        <f>CG29-CK29</f>
        <v>7</v>
      </c>
      <c r="AS68" s="8">
        <f>CI29-CM29</f>
        <v>84</v>
      </c>
      <c r="AT68" s="8">
        <f>CK29-CO29</f>
        <v>3</v>
      </c>
      <c r="AU68" s="8">
        <f>CM29-CQ29</f>
        <v>82</v>
      </c>
      <c r="AV68" s="8">
        <f>CO29-CS29</f>
        <v>20</v>
      </c>
      <c r="AW68" s="8">
        <f>CQ29-CU29</f>
        <v>81</v>
      </c>
      <c r="AX68" s="8">
        <f>CS29-CW29</f>
        <v>19</v>
      </c>
      <c r="AY68" s="9">
        <f>CU29-CY29</f>
        <v>121</v>
      </c>
      <c r="AZ68" s="9">
        <f>CW29-DA29</f>
        <v>2</v>
      </c>
      <c r="BA68" s="9">
        <f>CY29-DC29</f>
        <v>482</v>
      </c>
      <c r="BB68" s="9">
        <f>DA29-DE29</f>
        <v>3</v>
      </c>
      <c r="BC68" s="9">
        <f>DC29-DG29</f>
        <v>407</v>
      </c>
      <c r="BD68" s="11">
        <f>DE29-DI29</f>
        <v>1</v>
      </c>
      <c r="BR68" s="7"/>
      <c r="BV68" s="1"/>
      <c r="DM68" s="5"/>
      <c r="DN68" s="5"/>
      <c r="DV68" s="1"/>
      <c r="DW68" s="6"/>
      <c r="EE68" s="1"/>
    </row>
    <row r="69" spans="1:135" x14ac:dyDescent="0.2">
      <c r="B69" s="195" t="s">
        <v>21</v>
      </c>
      <c r="C69" s="25">
        <f t="shared" si="92"/>
        <v>46</v>
      </c>
      <c r="D69" s="25">
        <f t="shared" si="93"/>
        <v>3</v>
      </c>
      <c r="E69" s="25">
        <f>G30-K30</f>
        <v>37</v>
      </c>
      <c r="F69" s="25">
        <f>I30-M30</f>
        <v>4</v>
      </c>
      <c r="G69" s="25">
        <f>K30-O30</f>
        <v>56</v>
      </c>
      <c r="H69" s="25">
        <f>M30-Q30</f>
        <v>1</v>
      </c>
      <c r="I69" s="25">
        <f>O30-S30</f>
        <v>27</v>
      </c>
      <c r="J69" s="25">
        <f>Q30-U30</f>
        <v>1</v>
      </c>
      <c r="K69" s="25">
        <f>S30-W30</f>
        <v>32</v>
      </c>
      <c r="L69" s="104">
        <f>U30-Y30</f>
        <v>0</v>
      </c>
      <c r="M69" s="25">
        <f>W30-AA30</f>
        <v>24</v>
      </c>
      <c r="N69" s="104">
        <f>Y30-AC30</f>
        <v>0</v>
      </c>
      <c r="O69" s="25">
        <f>AA30-AE30</f>
        <v>37</v>
      </c>
      <c r="P69" s="25">
        <f>AC30-AG30</f>
        <v>2</v>
      </c>
      <c r="Q69" s="25">
        <f>AE30-AI30</f>
        <v>38</v>
      </c>
      <c r="R69" s="104">
        <f>AG30-AK30</f>
        <v>0</v>
      </c>
      <c r="S69" s="25">
        <f>AI30-AM30</f>
        <v>30</v>
      </c>
      <c r="T69" s="107">
        <f>AK30-AO30</f>
        <v>0</v>
      </c>
      <c r="U69" s="25">
        <f>AM30-AQ30</f>
        <v>16</v>
      </c>
      <c r="V69" s="104">
        <f>AO30-AS30</f>
        <v>0</v>
      </c>
      <c r="W69" s="8">
        <f>AQ30-AU30</f>
        <v>18</v>
      </c>
      <c r="X69" s="8">
        <f>AS30-AW30</f>
        <v>1</v>
      </c>
      <c r="Y69" s="8">
        <f>AU30-AY30</f>
        <v>17</v>
      </c>
      <c r="Z69" s="103">
        <f>AW30-BA30</f>
        <v>0</v>
      </c>
      <c r="AA69" s="8">
        <f>AY30-BC30</f>
        <v>10</v>
      </c>
      <c r="AB69" s="103">
        <f>BA30-BE30</f>
        <v>0</v>
      </c>
      <c r="AC69" s="8">
        <f>AY30-BG30</f>
        <v>17</v>
      </c>
      <c r="AD69" s="8">
        <f>BE30-BI30</f>
        <v>1</v>
      </c>
      <c r="AE69" s="8">
        <f>BG30-BK30</f>
        <v>11</v>
      </c>
      <c r="AF69" s="105">
        <f>BI30-BM30</f>
        <v>0</v>
      </c>
      <c r="AG69" s="8">
        <f>BK30-BO30</f>
        <v>8</v>
      </c>
      <c r="AH69" s="8">
        <f>BM30-BQ30</f>
        <v>1</v>
      </c>
      <c r="AI69" s="8">
        <f>BO30-BS30</f>
        <v>7</v>
      </c>
      <c r="AJ69" s="105">
        <f>BQ30-BU30</f>
        <v>0</v>
      </c>
      <c r="AK69" s="8">
        <f>BS30-BW30</f>
        <v>8</v>
      </c>
      <c r="AL69" s="105">
        <f>BU30-BY30</f>
        <v>0</v>
      </c>
      <c r="AM69" s="8">
        <f>BW30-CA30</f>
        <v>7</v>
      </c>
      <c r="AN69" s="105">
        <f>BY30-CC30</f>
        <v>0</v>
      </c>
      <c r="AO69" s="8">
        <f>CA30-CE30</f>
        <v>20</v>
      </c>
      <c r="AP69" s="105">
        <f>CC30-CG30</f>
        <v>0</v>
      </c>
      <c r="AQ69" s="8">
        <f>CE30-CI30</f>
        <v>6</v>
      </c>
      <c r="AR69" s="8">
        <f>CG30-CK30</f>
        <v>2</v>
      </c>
      <c r="AS69" s="9">
        <f>CI30-CM30</f>
        <v>11</v>
      </c>
      <c r="AT69" s="105">
        <f>CK30-CO30</f>
        <v>0</v>
      </c>
      <c r="AU69" s="8">
        <f>CM30-CQ30</f>
        <v>31</v>
      </c>
      <c r="AV69" s="8">
        <f>CO30-CS30</f>
        <v>1</v>
      </c>
      <c r="AW69" s="8">
        <f>CQ30-CU30</f>
        <v>39</v>
      </c>
      <c r="AX69" s="8">
        <f>CS30-CW30</f>
        <v>4</v>
      </c>
      <c r="AY69" s="9">
        <f>CU30-CY30</f>
        <v>28</v>
      </c>
      <c r="AZ69" s="105">
        <f>CW30-DA30</f>
        <v>0</v>
      </c>
      <c r="BA69" s="9">
        <f>CY30-DC30</f>
        <v>34</v>
      </c>
      <c r="BB69" s="9">
        <f>DA30-DE30</f>
        <v>3</v>
      </c>
      <c r="BC69" s="9">
        <f>DC30-DG30</f>
        <v>59</v>
      </c>
      <c r="BD69" s="11">
        <f>DE30-DI30</f>
        <v>1</v>
      </c>
      <c r="BR69" s="7"/>
      <c r="BV69" s="1"/>
      <c r="DM69" s="5"/>
      <c r="DN69" s="5"/>
      <c r="DV69" s="1"/>
      <c r="DW69" s="6"/>
      <c r="EE69" s="1"/>
    </row>
    <row r="70" spans="1:135" ht="15" thickBot="1" x14ac:dyDescent="0.25">
      <c r="B70" s="197" t="s">
        <v>44</v>
      </c>
      <c r="C70" s="165">
        <f t="shared" ref="C70:K70" si="94">SUM(C46:C69)</f>
        <v>7718</v>
      </c>
      <c r="D70" s="166">
        <f t="shared" si="94"/>
        <v>197</v>
      </c>
      <c r="E70" s="165">
        <f t="shared" si="94"/>
        <v>8348</v>
      </c>
      <c r="F70" s="166">
        <f t="shared" si="94"/>
        <v>228</v>
      </c>
      <c r="G70" s="165">
        <f t="shared" si="94"/>
        <v>11482</v>
      </c>
      <c r="H70" s="166">
        <f t="shared" si="94"/>
        <v>275</v>
      </c>
      <c r="I70" s="165">
        <f t="shared" si="94"/>
        <v>7450</v>
      </c>
      <c r="J70" s="166">
        <f t="shared" si="94"/>
        <v>215</v>
      </c>
      <c r="K70" s="165">
        <f t="shared" si="94"/>
        <v>8941</v>
      </c>
      <c r="L70" s="166">
        <f>SUM(U31-Y31)</f>
        <v>309</v>
      </c>
      <c r="M70" s="108">
        <f>SUM(M46:M69)</f>
        <v>7454</v>
      </c>
      <c r="N70" s="109">
        <f t="shared" ref="N70:AE70" si="95">SUM(N46:N69)</f>
        <v>153</v>
      </c>
      <c r="O70" s="108">
        <f>SUM(O46:O69)</f>
        <v>9536</v>
      </c>
      <c r="P70" s="109">
        <f t="shared" si="95"/>
        <v>236</v>
      </c>
      <c r="Q70" s="108">
        <f>SUM(Q46:Q69)</f>
        <v>9810</v>
      </c>
      <c r="R70" s="109">
        <f t="shared" si="95"/>
        <v>304</v>
      </c>
      <c r="S70" s="108">
        <f>SUM(S46:S69)</f>
        <v>10412</v>
      </c>
      <c r="T70" s="109">
        <f t="shared" si="95"/>
        <v>142</v>
      </c>
      <c r="U70" s="108">
        <f>SUM(U46:U69)</f>
        <v>6456</v>
      </c>
      <c r="V70" s="109">
        <f t="shared" si="95"/>
        <v>126</v>
      </c>
      <c r="W70" s="108">
        <f>SUM(W46:W69)</f>
        <v>5259</v>
      </c>
      <c r="X70" s="109">
        <f t="shared" si="95"/>
        <v>59</v>
      </c>
      <c r="Y70" s="108">
        <f>SUM(Y46:Y69)</f>
        <v>3098</v>
      </c>
      <c r="Z70" s="109">
        <f t="shared" si="95"/>
        <v>44</v>
      </c>
      <c r="AA70" s="108">
        <f t="shared" si="95"/>
        <v>4147</v>
      </c>
      <c r="AB70" s="109">
        <f t="shared" si="95"/>
        <v>73</v>
      </c>
      <c r="AC70" s="108">
        <f t="shared" si="95"/>
        <v>8259</v>
      </c>
      <c r="AD70" s="109">
        <f t="shared" si="95"/>
        <v>97</v>
      </c>
      <c r="AE70" s="108">
        <f t="shared" si="95"/>
        <v>5881</v>
      </c>
      <c r="AF70" s="109">
        <f t="shared" ref="AF70:AK70" si="96">SUM(AF46:AF69)</f>
        <v>355</v>
      </c>
      <c r="AG70" s="108">
        <f t="shared" si="96"/>
        <v>6474</v>
      </c>
      <c r="AH70" s="109">
        <f t="shared" si="96"/>
        <v>222</v>
      </c>
      <c r="AI70" s="110">
        <f t="shared" si="96"/>
        <v>5348</v>
      </c>
      <c r="AJ70" s="109">
        <f t="shared" si="96"/>
        <v>193</v>
      </c>
      <c r="AK70" s="110">
        <f t="shared" si="96"/>
        <v>5388</v>
      </c>
      <c r="AL70" s="109">
        <f t="shared" ref="AL70:BD70" si="97">SUM(AL46:AL69)</f>
        <v>178</v>
      </c>
      <c r="AM70" s="110">
        <f>SUM(AM46:AM69)</f>
        <v>5713</v>
      </c>
      <c r="AN70" s="109">
        <f t="shared" si="97"/>
        <v>146</v>
      </c>
      <c r="AO70" s="110">
        <f>SUM(AO46:AO69)</f>
        <v>7559</v>
      </c>
      <c r="AP70" s="109">
        <f t="shared" si="97"/>
        <v>131</v>
      </c>
      <c r="AQ70" s="110">
        <f>SUM(AQ46:AQ69)</f>
        <v>8346</v>
      </c>
      <c r="AR70" s="109">
        <f t="shared" si="97"/>
        <v>166</v>
      </c>
      <c r="AS70" s="110">
        <f>SUM(AS46:AS69)</f>
        <v>6256</v>
      </c>
      <c r="AT70" s="109">
        <f t="shared" si="97"/>
        <v>196</v>
      </c>
      <c r="AU70" s="110">
        <f t="shared" si="97"/>
        <v>5999</v>
      </c>
      <c r="AV70" s="109">
        <f t="shared" si="97"/>
        <v>544</v>
      </c>
      <c r="AW70" s="110">
        <f t="shared" si="97"/>
        <v>6287</v>
      </c>
      <c r="AX70" s="109">
        <f t="shared" si="97"/>
        <v>368</v>
      </c>
      <c r="AY70" s="110">
        <f t="shared" si="97"/>
        <v>8328</v>
      </c>
      <c r="AZ70" s="109">
        <f t="shared" si="97"/>
        <v>189</v>
      </c>
      <c r="BA70" s="110">
        <f t="shared" si="97"/>
        <v>7825</v>
      </c>
      <c r="BB70" s="109">
        <f t="shared" si="97"/>
        <v>187</v>
      </c>
      <c r="BC70" s="110">
        <f>SUM(BC46:BC69)</f>
        <v>8810</v>
      </c>
      <c r="BD70" s="111">
        <f t="shared" si="97"/>
        <v>379</v>
      </c>
      <c r="BR70" s="7"/>
      <c r="BV70" s="1"/>
      <c r="DM70" s="5"/>
      <c r="DN70" s="5"/>
      <c r="DV70" s="1"/>
      <c r="DW70" s="6"/>
      <c r="EE70" s="1"/>
    </row>
    <row r="71" spans="1:135" x14ac:dyDescent="0.2">
      <c r="B71" s="112" t="s">
        <v>45</v>
      </c>
      <c r="C71" s="136"/>
      <c r="D71" s="136"/>
      <c r="E71" s="136"/>
      <c r="F71" s="136"/>
      <c r="G71" s="5"/>
      <c r="H71" s="5"/>
      <c r="I71" s="25"/>
      <c r="T71" s="8"/>
      <c r="BF71" s="7"/>
      <c r="BH71" s="7"/>
      <c r="BT71" s="1"/>
      <c r="BV71" s="1"/>
      <c r="DA71" s="5"/>
      <c r="DB71" s="5"/>
      <c r="DC71" s="5"/>
      <c r="DD71" s="5"/>
      <c r="DE71" s="5"/>
      <c r="DF71" s="5"/>
      <c r="DG71" s="5"/>
      <c r="DH71" s="5"/>
      <c r="DI71" s="5"/>
      <c r="DK71" s="6"/>
      <c r="DM71" s="6"/>
      <c r="DO71" s="6"/>
      <c r="DP71" s="1"/>
      <c r="DQ71" s="6"/>
      <c r="DR71" s="1"/>
      <c r="DS71" s="1"/>
      <c r="DT71" s="1"/>
      <c r="DU71" s="1"/>
      <c r="DV71" s="1"/>
      <c r="DW71" s="1"/>
      <c r="DY71" s="1"/>
      <c r="EA71" s="1"/>
      <c r="EC71" s="1"/>
      <c r="EE71" s="1"/>
    </row>
    <row r="72" spans="1:135" x14ac:dyDescent="0.2">
      <c r="BN72" s="7"/>
      <c r="BP72" s="7"/>
      <c r="BT72" s="1"/>
      <c r="BV72" s="1"/>
      <c r="DI72" s="5"/>
      <c r="DJ72" s="5"/>
      <c r="DK72" s="5"/>
      <c r="DL72" s="5"/>
      <c r="DM72" s="5"/>
      <c r="DN72" s="5"/>
      <c r="DR72" s="1"/>
      <c r="DS72" s="6"/>
      <c r="DT72" s="1"/>
      <c r="DU72" s="6"/>
      <c r="DV72" s="1"/>
      <c r="DW72" s="6"/>
      <c r="EA72" s="1"/>
      <c r="EC72" s="1"/>
      <c r="EE72" s="1"/>
    </row>
    <row r="73" spans="1:135" x14ac:dyDescent="0.2">
      <c r="B73" s="113" t="s">
        <v>46</v>
      </c>
      <c r="C73" s="184">
        <v>44269</v>
      </c>
      <c r="D73" s="184">
        <v>44262</v>
      </c>
      <c r="E73" s="184">
        <v>44255</v>
      </c>
      <c r="F73" s="114">
        <v>44248</v>
      </c>
      <c r="G73" s="114">
        <v>44241</v>
      </c>
      <c r="H73" s="114">
        <v>44234</v>
      </c>
      <c r="I73" s="114">
        <v>44227</v>
      </c>
      <c r="J73" s="114">
        <v>44220</v>
      </c>
      <c r="K73" s="114">
        <v>44213</v>
      </c>
      <c r="L73" s="114">
        <v>44206</v>
      </c>
      <c r="M73" s="114">
        <v>44199</v>
      </c>
      <c r="N73" s="114">
        <v>44192</v>
      </c>
      <c r="O73" s="114">
        <v>44185</v>
      </c>
      <c r="P73" s="114">
        <v>44178</v>
      </c>
      <c r="Q73" s="114">
        <v>44171</v>
      </c>
      <c r="R73" s="114">
        <v>44164</v>
      </c>
      <c r="S73" s="115">
        <v>44157</v>
      </c>
      <c r="T73" s="115">
        <v>44150</v>
      </c>
      <c r="U73" s="115">
        <v>44143</v>
      </c>
      <c r="V73" s="115">
        <v>44136</v>
      </c>
      <c r="W73" s="115">
        <v>44129</v>
      </c>
      <c r="X73" s="115">
        <v>44122</v>
      </c>
      <c r="Y73" s="115">
        <v>44115</v>
      </c>
      <c r="Z73" s="115">
        <v>44108</v>
      </c>
      <c r="AA73" s="115" t="s">
        <v>41</v>
      </c>
      <c r="AB73" s="115" t="s">
        <v>40</v>
      </c>
      <c r="AC73" s="115" t="s">
        <v>39</v>
      </c>
      <c r="AD73" s="116" t="s">
        <v>50</v>
      </c>
      <c r="AE73" s="116" t="s">
        <v>51</v>
      </c>
      <c r="AF73" s="116" t="s">
        <v>52</v>
      </c>
      <c r="AG73" s="116" t="s">
        <v>53</v>
      </c>
      <c r="AH73" s="116" t="s">
        <v>54</v>
      </c>
      <c r="AI73" s="116" t="s">
        <v>55</v>
      </c>
      <c r="AJ73" s="116">
        <v>44038</v>
      </c>
      <c r="AK73" s="117">
        <v>44031</v>
      </c>
      <c r="AL73" s="8"/>
      <c r="AM73" s="8"/>
      <c r="AN73" s="8"/>
      <c r="AO73" s="8"/>
      <c r="AP73" s="8"/>
      <c r="AQ73" s="8"/>
      <c r="AR73" s="8"/>
      <c r="AS73" s="8"/>
      <c r="AT73" s="8"/>
      <c r="AU73" s="9"/>
      <c r="AV73" s="9"/>
      <c r="BA73" s="7"/>
      <c r="BC73" s="7"/>
      <c r="BT73" s="1"/>
      <c r="BV73" s="1"/>
      <c r="CV73" s="5"/>
      <c r="CW73" s="5"/>
      <c r="CX73" s="5"/>
      <c r="CY73" s="5"/>
      <c r="CZ73" s="5"/>
      <c r="DA73" s="5"/>
      <c r="DB73" s="5"/>
      <c r="DC73" s="5"/>
      <c r="DD73" s="5"/>
      <c r="DF73" s="6"/>
      <c r="DH73" s="6"/>
      <c r="DJ73" s="6"/>
      <c r="DL73" s="6"/>
      <c r="DO73" s="1"/>
      <c r="DP73" s="1"/>
      <c r="DQ73" s="1"/>
      <c r="DR73" s="1"/>
      <c r="DS73" s="1"/>
      <c r="DT73" s="1"/>
      <c r="DU73" s="1"/>
      <c r="DV73" s="1"/>
      <c r="DW73" s="1"/>
      <c r="DY73" s="1"/>
      <c r="EA73" s="1"/>
      <c r="EC73" s="1"/>
      <c r="EE73" s="1"/>
    </row>
    <row r="74" spans="1:135" x14ac:dyDescent="0.2">
      <c r="A74" s="9"/>
      <c r="B74" s="118" t="s">
        <v>47</v>
      </c>
      <c r="C74" s="25">
        <v>33405</v>
      </c>
      <c r="D74" s="25">
        <v>32653</v>
      </c>
      <c r="E74" s="25">
        <v>31893</v>
      </c>
      <c r="F74" s="25">
        <v>30846</v>
      </c>
      <c r="G74" s="25">
        <v>30342</v>
      </c>
      <c r="H74" s="119">
        <v>29707</v>
      </c>
      <c r="I74" s="119">
        <v>28878</v>
      </c>
      <c r="J74" s="119">
        <v>27819</v>
      </c>
      <c r="K74" s="119">
        <v>27188</v>
      </c>
      <c r="L74" s="120">
        <v>26507</v>
      </c>
      <c r="M74" s="120">
        <v>25895</v>
      </c>
      <c r="N74" s="120">
        <v>25387</v>
      </c>
      <c r="O74" s="120">
        <v>24920</v>
      </c>
      <c r="P74" s="121">
        <v>24474</v>
      </c>
      <c r="Q74" s="121">
        <v>23940</v>
      </c>
      <c r="R74" s="121">
        <v>23339</v>
      </c>
      <c r="S74" s="121">
        <v>22811</v>
      </c>
      <c r="T74" s="121">
        <v>22393</v>
      </c>
      <c r="U74" s="121">
        <v>21946</v>
      </c>
      <c r="V74" s="121">
        <v>21423</v>
      </c>
      <c r="W74" s="121">
        <v>20940</v>
      </c>
      <c r="X74" s="121">
        <v>20394</v>
      </c>
      <c r="Y74" s="121">
        <v>19851</v>
      </c>
      <c r="Z74" s="121">
        <v>19226</v>
      </c>
      <c r="AA74" s="121">
        <v>18570</v>
      </c>
      <c r="AB74" s="121">
        <v>17632</v>
      </c>
      <c r="AC74" s="121">
        <v>16976</v>
      </c>
      <c r="AD74" s="121">
        <v>16182</v>
      </c>
      <c r="AE74" s="121">
        <v>15368</v>
      </c>
      <c r="AF74" s="121">
        <v>14552</v>
      </c>
      <c r="AG74" s="121">
        <v>13406</v>
      </c>
      <c r="AH74" s="121">
        <v>12453</v>
      </c>
      <c r="AI74" s="121">
        <v>11509</v>
      </c>
      <c r="AJ74" s="121">
        <v>10769</v>
      </c>
      <c r="AK74" s="122">
        <v>9671</v>
      </c>
      <c r="AL74" s="5"/>
      <c r="AM74" s="5"/>
      <c r="BA74" s="7"/>
      <c r="BC74" s="7"/>
      <c r="BT74" s="1"/>
      <c r="BV74" s="1"/>
      <c r="CV74" s="5"/>
      <c r="CW74" s="5"/>
      <c r="CX74" s="5"/>
      <c r="CY74" s="5"/>
      <c r="CZ74" s="5"/>
      <c r="DA74" s="5"/>
      <c r="DB74" s="5"/>
      <c r="DC74" s="5"/>
      <c r="DD74" s="5"/>
      <c r="DF74" s="6"/>
      <c r="DH74" s="6"/>
      <c r="DJ74" s="6"/>
      <c r="DL74" s="6"/>
      <c r="DO74" s="1"/>
      <c r="DP74" s="1"/>
      <c r="DQ74" s="1"/>
      <c r="DR74" s="1"/>
      <c r="DS74" s="1"/>
      <c r="DT74" s="1"/>
      <c r="DU74" s="1"/>
      <c r="DV74" s="1"/>
      <c r="DW74" s="1"/>
      <c r="DY74" s="1"/>
      <c r="EA74" s="1"/>
      <c r="EC74" s="1"/>
      <c r="EE74" s="1"/>
    </row>
    <row r="75" spans="1:135" x14ac:dyDescent="0.2">
      <c r="A75" s="9"/>
      <c r="B75" s="123" t="s">
        <v>48</v>
      </c>
      <c r="C75" s="25">
        <v>939</v>
      </c>
      <c r="D75" s="25">
        <v>850</v>
      </c>
      <c r="E75" s="25">
        <v>855</v>
      </c>
      <c r="F75" s="25">
        <v>729</v>
      </c>
      <c r="G75" s="25">
        <v>782</v>
      </c>
      <c r="H75" s="25">
        <v>818</v>
      </c>
      <c r="I75" s="25">
        <v>886</v>
      </c>
      <c r="J75" s="25">
        <v>830</v>
      </c>
      <c r="K75" s="25">
        <v>712</v>
      </c>
      <c r="L75" s="120">
        <v>631</v>
      </c>
      <c r="M75" s="120">
        <v>591</v>
      </c>
      <c r="N75" s="120">
        <v>464</v>
      </c>
      <c r="O75" s="120">
        <v>444</v>
      </c>
      <c r="P75" s="121">
        <v>433</v>
      </c>
      <c r="Q75" s="121">
        <v>526</v>
      </c>
      <c r="R75" s="121">
        <v>486</v>
      </c>
      <c r="S75" s="121">
        <v>483</v>
      </c>
      <c r="T75" s="121">
        <v>504</v>
      </c>
      <c r="U75" s="121">
        <v>490</v>
      </c>
      <c r="V75" s="121">
        <v>531</v>
      </c>
      <c r="W75" s="121">
        <v>493</v>
      </c>
      <c r="X75" s="121">
        <v>521</v>
      </c>
      <c r="Y75" s="121">
        <v>518</v>
      </c>
      <c r="Z75" s="121">
        <v>641</v>
      </c>
      <c r="AA75" s="121">
        <v>725</v>
      </c>
      <c r="AB75" s="121">
        <v>685</v>
      </c>
      <c r="AC75" s="121">
        <v>767</v>
      </c>
      <c r="AD75" s="121">
        <v>885</v>
      </c>
      <c r="AE75" s="8">
        <v>874</v>
      </c>
      <c r="AF75" s="121">
        <v>744</v>
      </c>
      <c r="AG75" s="121">
        <v>944</v>
      </c>
      <c r="AH75" s="121">
        <v>874</v>
      </c>
      <c r="AI75" s="121">
        <v>859</v>
      </c>
      <c r="AJ75" s="121">
        <v>823</v>
      </c>
      <c r="AK75" s="122">
        <v>753</v>
      </c>
      <c r="AL75" s="5"/>
      <c r="AM75" s="5"/>
      <c r="BA75" s="7"/>
      <c r="BC75" s="7"/>
      <c r="BT75" s="1"/>
      <c r="BV75" s="1"/>
      <c r="CV75" s="5"/>
      <c r="CW75" s="5"/>
      <c r="CX75" s="5"/>
      <c r="CY75" s="5"/>
      <c r="CZ75" s="5"/>
      <c r="DA75" s="5"/>
      <c r="DB75" s="5"/>
      <c r="DC75" s="5"/>
      <c r="DD75" s="5"/>
      <c r="DF75" s="6"/>
      <c r="DH75" s="6"/>
      <c r="DJ75" s="6"/>
      <c r="DL75" s="6"/>
      <c r="DO75" s="1"/>
      <c r="DP75" s="1"/>
      <c r="DQ75" s="1"/>
      <c r="DR75" s="1"/>
      <c r="DS75" s="1"/>
      <c r="DT75" s="1"/>
      <c r="DU75" s="1"/>
      <c r="DV75" s="1"/>
      <c r="DW75" s="1"/>
      <c r="DY75" s="1"/>
      <c r="EA75" s="1"/>
      <c r="EC75" s="1"/>
      <c r="EE75" s="1"/>
    </row>
    <row r="76" spans="1:135" x14ac:dyDescent="0.2">
      <c r="A76" s="9"/>
      <c r="B76" s="124" t="s">
        <v>49</v>
      </c>
      <c r="C76" s="8">
        <v>519</v>
      </c>
      <c r="D76" s="8">
        <v>516</v>
      </c>
      <c r="E76" s="8">
        <v>532</v>
      </c>
      <c r="F76" s="8">
        <v>490</v>
      </c>
      <c r="G76" s="8">
        <v>475</v>
      </c>
      <c r="H76" s="8">
        <v>492</v>
      </c>
      <c r="I76" s="8">
        <v>529</v>
      </c>
      <c r="J76" s="8">
        <v>510</v>
      </c>
      <c r="K76" s="8">
        <v>488</v>
      </c>
      <c r="L76" s="120">
        <v>438</v>
      </c>
      <c r="M76" s="120">
        <v>393</v>
      </c>
      <c r="N76" s="120">
        <v>364</v>
      </c>
      <c r="O76" s="120">
        <v>371</v>
      </c>
      <c r="P76" s="121">
        <v>335</v>
      </c>
      <c r="Q76" s="121">
        <v>356</v>
      </c>
      <c r="R76" s="121">
        <v>371</v>
      </c>
      <c r="S76" s="121">
        <v>369</v>
      </c>
      <c r="T76" s="121">
        <v>354</v>
      </c>
      <c r="U76" s="121">
        <v>343</v>
      </c>
      <c r="V76" s="121">
        <v>342</v>
      </c>
      <c r="W76" s="121">
        <v>365</v>
      </c>
      <c r="X76" s="121">
        <v>365</v>
      </c>
      <c r="Y76" s="121">
        <v>360</v>
      </c>
      <c r="Z76" s="121">
        <v>354</v>
      </c>
      <c r="AA76" s="121">
        <v>355</v>
      </c>
      <c r="AB76" s="121">
        <v>377</v>
      </c>
      <c r="AC76" s="121">
        <v>378</v>
      </c>
      <c r="AD76" s="121">
        <v>424</v>
      </c>
      <c r="AE76" s="121">
        <v>377</v>
      </c>
      <c r="AF76" s="121">
        <v>359</v>
      </c>
      <c r="AG76" s="121">
        <v>376</v>
      </c>
      <c r="AH76" s="121">
        <v>356</v>
      </c>
      <c r="AI76" s="121">
        <v>363</v>
      </c>
      <c r="AJ76" s="121">
        <v>350</v>
      </c>
      <c r="AK76" s="122">
        <v>347</v>
      </c>
      <c r="AL76" s="5"/>
      <c r="AM76" s="5"/>
      <c r="BA76" s="7"/>
      <c r="BC76" s="7"/>
      <c r="BO76" s="125"/>
      <c r="BT76" s="1"/>
      <c r="BV76" s="1"/>
      <c r="CV76" s="5"/>
      <c r="CW76" s="5"/>
      <c r="CX76" s="5"/>
      <c r="CY76" s="5"/>
      <c r="CZ76" s="5"/>
      <c r="DA76" s="5"/>
      <c r="DB76" s="5"/>
      <c r="DC76" s="5"/>
      <c r="DD76" s="5"/>
      <c r="DF76" s="6"/>
      <c r="DH76" s="6"/>
      <c r="DJ76" s="6"/>
      <c r="DL76" s="6"/>
      <c r="DO76" s="1"/>
      <c r="DP76" s="1"/>
      <c r="DQ76" s="1"/>
      <c r="DR76" s="1"/>
      <c r="DS76" s="1"/>
      <c r="DT76" s="1"/>
      <c r="DU76" s="1"/>
      <c r="DV76" s="1"/>
      <c r="DW76" s="1"/>
      <c r="DY76" s="1"/>
      <c r="EA76" s="1"/>
      <c r="EC76" s="1"/>
      <c r="EE76" s="1"/>
    </row>
    <row r="77" spans="1:135" x14ac:dyDescent="0.2">
      <c r="A77" s="9"/>
      <c r="B77" s="126" t="s">
        <v>56</v>
      </c>
      <c r="C77" s="121">
        <f t="shared" ref="C77:F77" si="98">C76+C75</f>
        <v>1458</v>
      </c>
      <c r="D77" s="121">
        <f t="shared" si="98"/>
        <v>1366</v>
      </c>
      <c r="E77" s="121">
        <f t="shared" si="98"/>
        <v>1387</v>
      </c>
      <c r="F77" s="121">
        <f t="shared" si="98"/>
        <v>1219</v>
      </c>
      <c r="G77" s="121">
        <f t="shared" ref="G77:Q77" si="99">G76+G75</f>
        <v>1257</v>
      </c>
      <c r="H77" s="121">
        <f t="shared" si="99"/>
        <v>1310</v>
      </c>
      <c r="I77" s="121">
        <f t="shared" si="99"/>
        <v>1415</v>
      </c>
      <c r="J77" s="121">
        <f t="shared" si="99"/>
        <v>1340</v>
      </c>
      <c r="K77" s="121">
        <f t="shared" si="99"/>
        <v>1200</v>
      </c>
      <c r="L77" s="121">
        <f t="shared" si="99"/>
        <v>1069</v>
      </c>
      <c r="M77" s="121">
        <f t="shared" si="99"/>
        <v>984</v>
      </c>
      <c r="N77" s="121">
        <f t="shared" si="99"/>
        <v>828</v>
      </c>
      <c r="O77" s="121">
        <f t="shared" si="99"/>
        <v>815</v>
      </c>
      <c r="P77" s="121">
        <f t="shared" si="99"/>
        <v>768</v>
      </c>
      <c r="Q77" s="121">
        <f t="shared" si="99"/>
        <v>882</v>
      </c>
      <c r="R77" s="121">
        <f t="shared" ref="R77:V77" si="100">R76+R75</f>
        <v>857</v>
      </c>
      <c r="S77" s="121">
        <f t="shared" si="100"/>
        <v>852</v>
      </c>
      <c r="T77" s="121">
        <f t="shared" si="100"/>
        <v>858</v>
      </c>
      <c r="U77" s="121">
        <f t="shared" si="100"/>
        <v>833</v>
      </c>
      <c r="V77" s="121">
        <f t="shared" si="100"/>
        <v>873</v>
      </c>
      <c r="W77" s="121">
        <f t="shared" ref="W77:AK77" si="101">W76+W75</f>
        <v>858</v>
      </c>
      <c r="X77" s="121">
        <f t="shared" si="101"/>
        <v>886</v>
      </c>
      <c r="Y77" s="121">
        <f t="shared" si="101"/>
        <v>878</v>
      </c>
      <c r="Z77" s="121">
        <f t="shared" si="101"/>
        <v>995</v>
      </c>
      <c r="AA77" s="121">
        <f t="shared" si="101"/>
        <v>1080</v>
      </c>
      <c r="AB77" s="121">
        <f t="shared" si="101"/>
        <v>1062</v>
      </c>
      <c r="AC77" s="121">
        <f t="shared" si="101"/>
        <v>1145</v>
      </c>
      <c r="AD77" s="121">
        <f t="shared" si="101"/>
        <v>1309</v>
      </c>
      <c r="AE77" s="121">
        <f t="shared" si="101"/>
        <v>1251</v>
      </c>
      <c r="AF77" s="121">
        <f t="shared" si="101"/>
        <v>1103</v>
      </c>
      <c r="AG77" s="121">
        <f t="shared" si="101"/>
        <v>1320</v>
      </c>
      <c r="AH77" s="121">
        <f t="shared" si="101"/>
        <v>1230</v>
      </c>
      <c r="AI77" s="121">
        <f t="shared" si="101"/>
        <v>1222</v>
      </c>
      <c r="AJ77" s="121">
        <f t="shared" si="101"/>
        <v>1173</v>
      </c>
      <c r="AK77" s="122">
        <f t="shared" si="101"/>
        <v>1100</v>
      </c>
      <c r="AL77" s="5"/>
      <c r="AM77" s="5"/>
      <c r="BA77" s="7"/>
      <c r="BC77" s="7"/>
      <c r="BO77" s="125"/>
      <c r="BT77" s="1"/>
      <c r="BV77" s="1"/>
      <c r="CV77" s="5"/>
      <c r="CW77" s="5"/>
      <c r="CX77" s="5"/>
      <c r="CY77" s="5"/>
      <c r="CZ77" s="5"/>
      <c r="DA77" s="5"/>
      <c r="DB77" s="5"/>
      <c r="DC77" s="5"/>
      <c r="DD77" s="5"/>
      <c r="DF77" s="6"/>
      <c r="DH77" s="6"/>
      <c r="DJ77" s="6"/>
      <c r="DL77" s="6"/>
      <c r="DO77" s="1"/>
      <c r="DP77" s="1"/>
      <c r="DQ77" s="1"/>
      <c r="DR77" s="1"/>
      <c r="DS77" s="1"/>
      <c r="DT77" s="1"/>
      <c r="DU77" s="1"/>
      <c r="DV77" s="1"/>
      <c r="DW77" s="1"/>
      <c r="DY77" s="1"/>
      <c r="EA77" s="1"/>
      <c r="EC77" s="1"/>
      <c r="EE77" s="1"/>
    </row>
    <row r="78" spans="1:135" x14ac:dyDescent="0.2">
      <c r="A78" s="9"/>
      <c r="B78" s="127" t="s">
        <v>43</v>
      </c>
      <c r="C78" s="128">
        <v>197</v>
      </c>
      <c r="D78" s="128">
        <v>228</v>
      </c>
      <c r="E78" s="128">
        <v>275</v>
      </c>
      <c r="F78" s="128">
        <v>215</v>
      </c>
      <c r="G78" s="128">
        <v>309</v>
      </c>
      <c r="H78" s="128">
        <v>153</v>
      </c>
      <c r="I78" s="128">
        <f>P70</f>
        <v>236</v>
      </c>
      <c r="J78" s="128">
        <f>R70</f>
        <v>304</v>
      </c>
      <c r="K78" s="128">
        <f>T70</f>
        <v>142</v>
      </c>
      <c r="L78" s="129">
        <v>126</v>
      </c>
      <c r="M78" s="129">
        <v>59</v>
      </c>
      <c r="N78" s="129">
        <v>44</v>
      </c>
      <c r="O78" s="129">
        <v>73</v>
      </c>
      <c r="P78" s="130">
        <v>97</v>
      </c>
      <c r="Q78" s="130">
        <v>355</v>
      </c>
      <c r="R78" s="131">
        <v>222</v>
      </c>
      <c r="S78" s="131">
        <f>AJ70</f>
        <v>193</v>
      </c>
      <c r="T78" s="131">
        <f>AL70</f>
        <v>178</v>
      </c>
      <c r="U78" s="131">
        <f>AN70</f>
        <v>146</v>
      </c>
      <c r="V78" s="131">
        <f>AP70</f>
        <v>131</v>
      </c>
      <c r="W78" s="131">
        <f>AR70</f>
        <v>166</v>
      </c>
      <c r="X78" s="131">
        <f>AT70</f>
        <v>196</v>
      </c>
      <c r="Y78" s="131">
        <f>AV70</f>
        <v>544</v>
      </c>
      <c r="Z78" s="131">
        <f>AX70</f>
        <v>368</v>
      </c>
      <c r="AA78" s="131">
        <f>AZ70</f>
        <v>189</v>
      </c>
      <c r="AB78" s="131">
        <f>BB70</f>
        <v>187</v>
      </c>
      <c r="AC78" s="131">
        <f>BD70</f>
        <v>379</v>
      </c>
      <c r="AD78" s="132"/>
      <c r="AE78" s="132"/>
      <c r="AF78" s="132"/>
      <c r="AG78" s="132"/>
      <c r="AH78" s="132"/>
      <c r="AI78" s="132"/>
      <c r="AJ78" s="132"/>
      <c r="AK78" s="133"/>
      <c r="AL78" s="5"/>
      <c r="AM78" s="5"/>
      <c r="BA78" s="7"/>
      <c r="BC78" s="7"/>
      <c r="BO78" s="134"/>
      <c r="BT78" s="1"/>
      <c r="BV78" s="1"/>
      <c r="CV78" s="5"/>
      <c r="CW78" s="5"/>
      <c r="CX78" s="5"/>
      <c r="CY78" s="5"/>
      <c r="CZ78" s="5"/>
      <c r="DA78" s="5"/>
      <c r="DB78" s="5"/>
      <c r="DC78" s="5"/>
      <c r="DD78" s="5"/>
      <c r="DF78" s="6"/>
      <c r="DH78" s="6"/>
      <c r="DJ78" s="6"/>
      <c r="DL78" s="6"/>
      <c r="DO78" s="1"/>
      <c r="DP78" s="1"/>
      <c r="DQ78" s="1"/>
      <c r="DR78" s="1"/>
      <c r="DS78" s="1"/>
      <c r="DT78" s="1"/>
      <c r="DU78" s="1"/>
      <c r="DV78" s="1"/>
      <c r="DW78" s="1"/>
      <c r="DY78" s="1"/>
      <c r="EA78" s="1"/>
      <c r="EC78" s="1"/>
      <c r="EE78" s="1"/>
    </row>
    <row r="79" spans="1:135" x14ac:dyDescent="0.2">
      <c r="A79" s="9"/>
      <c r="B79" s="25"/>
      <c r="C79" s="7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O79" s="7"/>
      <c r="BQ79" s="7"/>
      <c r="BT79" s="1"/>
      <c r="BV79" s="1"/>
      <c r="DJ79" s="5"/>
      <c r="DK79" s="5"/>
      <c r="DL79" s="5"/>
      <c r="DM79" s="5"/>
      <c r="DN79" s="5"/>
      <c r="DS79" s="1"/>
      <c r="DT79" s="6"/>
      <c r="DU79" s="1"/>
      <c r="DV79" s="6"/>
      <c r="DW79" s="1"/>
      <c r="DX79" s="6"/>
      <c r="DY79" s="1"/>
      <c r="DZ79" s="6"/>
      <c r="EA79" s="1"/>
      <c r="EC79" s="1"/>
      <c r="EE79" s="1"/>
    </row>
    <row r="80" spans="1:135" x14ac:dyDescent="0.2">
      <c r="A80" s="9"/>
      <c r="B80" s="2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R80" s="7"/>
      <c r="BV80" s="1"/>
      <c r="DM80" s="5"/>
      <c r="DN80" s="5"/>
      <c r="DV80" s="1"/>
      <c r="DW80" s="6"/>
      <c r="EE80" s="1"/>
    </row>
    <row r="81" spans="1:135" x14ac:dyDescent="0.2">
      <c r="A81" s="9"/>
      <c r="B81" s="25"/>
      <c r="AJ81" s="5"/>
      <c r="AK81" s="5"/>
      <c r="AL81" s="5"/>
      <c r="AM81" s="5"/>
      <c r="AN81" s="23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135" x14ac:dyDescent="0.2">
      <c r="A82" s="9"/>
      <c r="B82" s="25"/>
      <c r="AJ82" s="5"/>
      <c r="AK82" s="5"/>
      <c r="AL82" s="5"/>
      <c r="AM82" s="5"/>
      <c r="AN82" s="23"/>
      <c r="AO82" s="5"/>
      <c r="AP82" s="23"/>
      <c r="AQ82" s="5"/>
      <c r="AR82" s="23"/>
      <c r="AS82" s="5"/>
      <c r="AT82" s="23"/>
      <c r="AU82" s="5"/>
      <c r="AV82" s="23"/>
      <c r="AW82" s="5"/>
      <c r="AX82" s="23"/>
      <c r="AY82" s="5"/>
      <c r="AZ82" s="23"/>
      <c r="BA82" s="5"/>
      <c r="BB82" s="23"/>
      <c r="BC82" s="5"/>
      <c r="BD82" s="5"/>
    </row>
    <row r="83" spans="1:135" x14ac:dyDescent="0.2">
      <c r="A83" s="9"/>
      <c r="B83" s="2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J83" s="7"/>
      <c r="BL83" s="7"/>
      <c r="BT83" s="1"/>
      <c r="BV83" s="1"/>
      <c r="DE83" s="5"/>
      <c r="DF83" s="5"/>
      <c r="DG83" s="5"/>
      <c r="DH83" s="5"/>
      <c r="DI83" s="5"/>
      <c r="DJ83" s="5"/>
      <c r="DK83" s="5"/>
      <c r="DL83" s="5"/>
      <c r="DM83" s="5"/>
      <c r="DO83" s="6"/>
      <c r="DP83" s="1"/>
      <c r="DQ83" s="6"/>
      <c r="DR83" s="1"/>
      <c r="DS83" s="6"/>
      <c r="DT83" s="1"/>
      <c r="DU83" s="6"/>
      <c r="DV83" s="1"/>
      <c r="DW83" s="1"/>
      <c r="DY83" s="1"/>
      <c r="EA83" s="1"/>
      <c r="EC83" s="1"/>
      <c r="EE83" s="1"/>
    </row>
    <row r="84" spans="1:135" x14ac:dyDescent="0.2">
      <c r="A84" s="9"/>
      <c r="B84" s="2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J84" s="7"/>
      <c r="BL84" s="7"/>
      <c r="BT84" s="1"/>
      <c r="BV84" s="1"/>
      <c r="DE84" s="5"/>
      <c r="DF84" s="5"/>
      <c r="DG84" s="5"/>
      <c r="DH84" s="5"/>
      <c r="DI84" s="5"/>
      <c r="DJ84" s="5"/>
      <c r="DK84" s="5"/>
      <c r="DL84" s="5"/>
      <c r="DM84" s="5"/>
      <c r="DO84" s="6"/>
      <c r="DP84" s="1"/>
      <c r="DQ84" s="6"/>
      <c r="DR84" s="1"/>
      <c r="DS84" s="6"/>
      <c r="DT84" s="1"/>
      <c r="DU84" s="6"/>
      <c r="DV84" s="1"/>
      <c r="DW84" s="1"/>
      <c r="DY84" s="1"/>
      <c r="EA84" s="1"/>
      <c r="EC84" s="1"/>
      <c r="EE84" s="1"/>
    </row>
    <row r="85" spans="1:135" x14ac:dyDescent="0.2">
      <c r="A85" s="9"/>
      <c r="B85" s="2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J85" s="7"/>
      <c r="BL85" s="7"/>
      <c r="BT85" s="1"/>
      <c r="BV85" s="1"/>
      <c r="DE85" s="5"/>
      <c r="DF85" s="5"/>
      <c r="DG85" s="5"/>
      <c r="DH85" s="5"/>
      <c r="DI85" s="5"/>
      <c r="DJ85" s="5"/>
      <c r="DK85" s="5"/>
      <c r="DL85" s="5"/>
      <c r="DM85" s="5"/>
      <c r="DO85" s="6"/>
      <c r="DP85" s="1"/>
      <c r="DQ85" s="6"/>
      <c r="DR85" s="1"/>
      <c r="DS85" s="6"/>
      <c r="DT85" s="1"/>
      <c r="DU85" s="6"/>
      <c r="DV85" s="1"/>
      <c r="DW85" s="1"/>
      <c r="DY85" s="1"/>
      <c r="EA85" s="1"/>
      <c r="EC85" s="1"/>
      <c r="EE85" s="1"/>
    </row>
    <row r="86" spans="1:135" x14ac:dyDescent="0.2">
      <c r="A86" s="9"/>
      <c r="B86" s="2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J86" s="7"/>
      <c r="BL86" s="7"/>
      <c r="BT86" s="1"/>
      <c r="BV86" s="1"/>
      <c r="DE86" s="5"/>
      <c r="DF86" s="5"/>
      <c r="DG86" s="5"/>
      <c r="DH86" s="5"/>
      <c r="DI86" s="5"/>
      <c r="DJ86" s="5"/>
      <c r="DK86" s="5"/>
      <c r="DL86" s="5"/>
      <c r="DM86" s="5"/>
      <c r="DO86" s="6"/>
      <c r="DP86" s="1"/>
      <c r="DQ86" s="6"/>
      <c r="DR86" s="1"/>
      <c r="DS86" s="6"/>
      <c r="DT86" s="1"/>
      <c r="DU86" s="6"/>
      <c r="DV86" s="1"/>
      <c r="DW86" s="1"/>
      <c r="DY86" s="1"/>
      <c r="EA86" s="1"/>
      <c r="EC86" s="1"/>
      <c r="EE86" s="1"/>
    </row>
    <row r="87" spans="1:135" x14ac:dyDescent="0.2">
      <c r="A87" s="9"/>
      <c r="B87" s="2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J87" s="7"/>
      <c r="BL87" s="7"/>
      <c r="BT87" s="1"/>
      <c r="BV87" s="1"/>
      <c r="DE87" s="5"/>
      <c r="DF87" s="5"/>
      <c r="DG87" s="5"/>
      <c r="DH87" s="5"/>
      <c r="DI87" s="5"/>
      <c r="DJ87" s="5"/>
      <c r="DK87" s="5"/>
      <c r="DL87" s="5"/>
      <c r="DM87" s="5"/>
      <c r="DO87" s="6"/>
      <c r="DP87" s="1"/>
      <c r="DQ87" s="6"/>
      <c r="DR87" s="1"/>
      <c r="DS87" s="6"/>
      <c r="DT87" s="1"/>
      <c r="DU87" s="6"/>
      <c r="DV87" s="1"/>
      <c r="DW87" s="1"/>
      <c r="DY87" s="1"/>
      <c r="EA87" s="1"/>
      <c r="EC87" s="1"/>
      <c r="EE87" s="1"/>
    </row>
    <row r="88" spans="1:135" x14ac:dyDescent="0.2">
      <c r="A88" s="9"/>
      <c r="B88" s="25"/>
      <c r="AJ88" s="5"/>
      <c r="AK88" s="5"/>
      <c r="AL88" s="5"/>
      <c r="AM88" s="5"/>
      <c r="AN88" s="23"/>
      <c r="AO88" s="5"/>
      <c r="AP88" s="23"/>
      <c r="AQ88" s="5"/>
      <c r="AR88" s="23"/>
      <c r="AS88" s="5"/>
      <c r="AT88" s="5"/>
      <c r="AU88" s="5"/>
      <c r="AV88" s="23"/>
      <c r="AW88" s="5"/>
      <c r="AX88" s="5"/>
      <c r="AY88" s="5"/>
      <c r="AZ88" s="5"/>
      <c r="BA88" s="5"/>
      <c r="BB88" s="23"/>
      <c r="BC88" s="5"/>
      <c r="BD88" s="5"/>
      <c r="BJ88" s="7"/>
      <c r="BL88" s="7"/>
      <c r="BT88" s="1"/>
      <c r="BV88" s="1"/>
      <c r="DE88" s="5"/>
      <c r="DF88" s="5"/>
      <c r="DG88" s="5"/>
      <c r="DH88" s="5"/>
      <c r="DI88" s="5"/>
      <c r="DJ88" s="5"/>
      <c r="DK88" s="5"/>
      <c r="DL88" s="5"/>
      <c r="DM88" s="5"/>
      <c r="DO88" s="6"/>
      <c r="DP88" s="1"/>
      <c r="DQ88" s="6"/>
      <c r="DR88" s="1"/>
      <c r="DS88" s="6"/>
      <c r="DT88" s="1"/>
      <c r="DU88" s="6"/>
      <c r="DV88" s="1"/>
      <c r="DW88" s="1"/>
      <c r="DY88" s="1"/>
      <c r="EA88" s="1"/>
      <c r="EC88" s="1"/>
      <c r="EE88" s="1"/>
    </row>
    <row r="89" spans="1:135" x14ac:dyDescent="0.2">
      <c r="A89" s="9"/>
      <c r="B89" s="25"/>
      <c r="AJ89" s="5"/>
      <c r="AK89" s="5"/>
      <c r="AL89" s="5"/>
      <c r="AM89" s="5"/>
      <c r="AN89" s="23"/>
      <c r="AO89" s="5"/>
      <c r="AP89" s="23"/>
      <c r="AQ89" s="5"/>
      <c r="AR89" s="23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J89" s="7"/>
      <c r="BL89" s="7"/>
      <c r="BT89" s="1"/>
      <c r="BV89" s="1"/>
      <c r="DE89" s="5"/>
      <c r="DF89" s="5"/>
      <c r="DG89" s="5"/>
      <c r="DH89" s="5"/>
      <c r="DI89" s="5"/>
      <c r="DJ89" s="5"/>
      <c r="DK89" s="5"/>
      <c r="DL89" s="5"/>
      <c r="DM89" s="5"/>
      <c r="DO89" s="6"/>
      <c r="DP89" s="1"/>
      <c r="DQ89" s="6"/>
      <c r="DR89" s="1"/>
      <c r="DS89" s="6"/>
      <c r="DT89" s="1"/>
      <c r="DU89" s="6"/>
      <c r="DV89" s="1"/>
      <c r="DW89" s="1"/>
      <c r="DY89" s="1"/>
      <c r="EA89" s="1"/>
      <c r="EC89" s="1"/>
      <c r="EE89" s="1"/>
    </row>
    <row r="90" spans="1:135" x14ac:dyDescent="0.2">
      <c r="A90" s="9"/>
      <c r="B90" s="25"/>
      <c r="AJ90" s="5"/>
      <c r="AK90" s="5"/>
      <c r="AL90" s="5"/>
      <c r="AM90" s="5"/>
      <c r="AN90" s="23"/>
      <c r="AO90" s="5"/>
      <c r="AP90" s="23"/>
      <c r="AQ90" s="5"/>
      <c r="AR90" s="23"/>
      <c r="AS90" s="5"/>
      <c r="AT90" s="23"/>
      <c r="AU90" s="5"/>
      <c r="AV90" s="5"/>
      <c r="AW90" s="5"/>
      <c r="AX90" s="5"/>
      <c r="AY90" s="5"/>
      <c r="AZ90" s="5"/>
      <c r="BA90" s="5"/>
      <c r="BB90" s="5"/>
      <c r="BC90" s="5"/>
      <c r="BD90" s="5"/>
      <c r="BJ90" s="7"/>
      <c r="BL90" s="7"/>
      <c r="BT90" s="1"/>
      <c r="BV90" s="1"/>
      <c r="DE90" s="5"/>
      <c r="DF90" s="5"/>
      <c r="DG90" s="5"/>
      <c r="DH90" s="5"/>
      <c r="DI90" s="5"/>
      <c r="DJ90" s="5"/>
      <c r="DK90" s="5"/>
      <c r="DL90" s="5"/>
      <c r="DM90" s="5"/>
      <c r="DO90" s="6"/>
      <c r="DP90" s="1"/>
      <c r="DQ90" s="6"/>
      <c r="DR90" s="1"/>
      <c r="DS90" s="6"/>
      <c r="DT90" s="1"/>
      <c r="DU90" s="6"/>
      <c r="DV90" s="1"/>
      <c r="DW90" s="1"/>
      <c r="DY90" s="1"/>
      <c r="EA90" s="1"/>
      <c r="EC90" s="1"/>
      <c r="EE90" s="1"/>
    </row>
    <row r="91" spans="1:135" x14ac:dyDescent="0.2">
      <c r="A91" s="9"/>
      <c r="B91" s="25"/>
      <c r="AJ91" s="5"/>
      <c r="AK91" s="5"/>
      <c r="AL91" s="5"/>
      <c r="AM91" s="5"/>
      <c r="AN91" s="23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J91" s="7"/>
      <c r="BL91" s="7"/>
      <c r="BT91" s="1"/>
      <c r="BV91" s="1"/>
      <c r="DE91" s="5"/>
      <c r="DF91" s="5"/>
      <c r="DG91" s="5"/>
      <c r="DH91" s="5"/>
      <c r="DI91" s="5"/>
      <c r="DJ91" s="5"/>
      <c r="DK91" s="5"/>
      <c r="DL91" s="5"/>
      <c r="DM91" s="5"/>
      <c r="DO91" s="6"/>
      <c r="DP91" s="1"/>
      <c r="DQ91" s="6"/>
      <c r="DR91" s="1"/>
      <c r="DS91" s="6"/>
      <c r="DT91" s="1"/>
      <c r="DU91" s="6"/>
      <c r="DV91" s="1"/>
      <c r="DW91" s="1"/>
      <c r="DY91" s="1"/>
      <c r="EA91" s="1"/>
      <c r="EC91" s="1"/>
      <c r="EE91" s="1"/>
    </row>
    <row r="92" spans="1:135" x14ac:dyDescent="0.2">
      <c r="B92" s="2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J92" s="7"/>
      <c r="BL92" s="7"/>
      <c r="BT92" s="1"/>
      <c r="BV92" s="1"/>
      <c r="DE92" s="5"/>
      <c r="DF92" s="5"/>
      <c r="DG92" s="5"/>
      <c r="DH92" s="5"/>
      <c r="DI92" s="5"/>
      <c r="DJ92" s="5"/>
      <c r="DK92" s="5"/>
      <c r="DL92" s="5"/>
      <c r="DM92" s="5"/>
      <c r="DO92" s="6"/>
      <c r="DP92" s="1"/>
      <c r="DQ92" s="6"/>
      <c r="DR92" s="1"/>
      <c r="DS92" s="6"/>
      <c r="DT92" s="1"/>
      <c r="DU92" s="6"/>
      <c r="DV92" s="1"/>
      <c r="DW92" s="1"/>
      <c r="DY92" s="1"/>
      <c r="EA92" s="1"/>
      <c r="EC92" s="1"/>
      <c r="EE92" s="1"/>
    </row>
    <row r="93" spans="1:135" x14ac:dyDescent="0.2">
      <c r="B93" s="25"/>
      <c r="AJ93" s="5"/>
      <c r="AK93" s="5"/>
      <c r="AL93" s="5"/>
      <c r="AM93" s="5"/>
      <c r="AN93" s="23"/>
      <c r="AO93" s="5"/>
      <c r="AP93" s="23"/>
      <c r="AQ93" s="5"/>
      <c r="AR93" s="23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J93" s="7"/>
      <c r="BL93" s="7"/>
      <c r="BT93" s="1"/>
      <c r="BV93" s="1"/>
      <c r="DE93" s="5"/>
      <c r="DF93" s="5"/>
      <c r="DG93" s="5"/>
      <c r="DH93" s="5"/>
      <c r="DI93" s="5"/>
      <c r="DJ93" s="5"/>
      <c r="DK93" s="5"/>
      <c r="DL93" s="5"/>
      <c r="DM93" s="5"/>
      <c r="DO93" s="6"/>
      <c r="DP93" s="1"/>
      <c r="DQ93" s="6"/>
      <c r="DR93" s="1"/>
      <c r="DS93" s="6"/>
      <c r="DT93" s="1"/>
      <c r="DU93" s="6"/>
      <c r="DV93" s="1"/>
      <c r="DW93" s="1"/>
      <c r="DY93" s="1"/>
      <c r="EA93" s="1"/>
      <c r="EC93" s="1"/>
      <c r="EE93" s="1"/>
    </row>
    <row r="94" spans="1:135" x14ac:dyDescent="0.2">
      <c r="B94" s="2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J94" s="7"/>
      <c r="BL94" s="7"/>
      <c r="BT94" s="1"/>
      <c r="BV94" s="1"/>
      <c r="DE94" s="5"/>
      <c r="DF94" s="5"/>
      <c r="DG94" s="5"/>
      <c r="DH94" s="5"/>
      <c r="DI94" s="5"/>
      <c r="DJ94" s="5"/>
      <c r="DK94" s="5"/>
      <c r="DL94" s="5"/>
      <c r="DM94" s="5"/>
      <c r="DO94" s="6"/>
      <c r="DP94" s="1"/>
      <c r="DQ94" s="6"/>
      <c r="DR94" s="1"/>
      <c r="DS94" s="6"/>
      <c r="DT94" s="1"/>
      <c r="DU94" s="6"/>
      <c r="DV94" s="1"/>
      <c r="DW94" s="1"/>
      <c r="DY94" s="1"/>
      <c r="EA94" s="1"/>
      <c r="EC94" s="1"/>
      <c r="EE94" s="1"/>
    </row>
    <row r="95" spans="1:135" x14ac:dyDescent="0.2">
      <c r="B95" s="25"/>
      <c r="AJ95" s="5"/>
      <c r="AK95" s="5"/>
      <c r="AL95" s="5"/>
      <c r="AM95" s="5"/>
      <c r="AN95" s="23"/>
      <c r="AO95" s="5"/>
      <c r="AP95" s="5"/>
      <c r="AQ95" s="5"/>
      <c r="AR95" s="23"/>
      <c r="AS95" s="5"/>
      <c r="AT95" s="5"/>
      <c r="AU95" s="5"/>
      <c r="AV95" s="23"/>
      <c r="AW95" s="5"/>
      <c r="AX95" s="5"/>
      <c r="AY95" s="5"/>
      <c r="AZ95" s="5"/>
      <c r="BA95" s="5"/>
      <c r="BB95" s="5"/>
      <c r="BC95" s="5"/>
      <c r="BD95" s="5"/>
      <c r="BJ95" s="7"/>
      <c r="BL95" s="7"/>
      <c r="BT95" s="1"/>
      <c r="BV95" s="1"/>
      <c r="DE95" s="5"/>
      <c r="DF95" s="5"/>
      <c r="DG95" s="5"/>
      <c r="DH95" s="5"/>
      <c r="DI95" s="5"/>
      <c r="DJ95" s="5"/>
      <c r="DK95" s="5"/>
      <c r="DL95" s="5"/>
      <c r="DM95" s="5"/>
      <c r="DO95" s="6"/>
      <c r="DP95" s="1"/>
      <c r="DQ95" s="6"/>
      <c r="DR95" s="1"/>
      <c r="DS95" s="6"/>
      <c r="DT95" s="1"/>
      <c r="DU95" s="6"/>
      <c r="DV95" s="1"/>
      <c r="DW95" s="1"/>
      <c r="DY95" s="1"/>
      <c r="EA95" s="1"/>
      <c r="EC95" s="1"/>
      <c r="EE95" s="1"/>
    </row>
    <row r="96" spans="1:135" x14ac:dyDescent="0.2">
      <c r="B96" s="2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J96" s="7"/>
      <c r="BL96" s="7"/>
      <c r="BT96" s="1"/>
      <c r="BV96" s="1"/>
      <c r="DE96" s="5"/>
      <c r="DF96" s="5"/>
      <c r="DG96" s="5"/>
      <c r="DH96" s="5"/>
      <c r="DI96" s="5"/>
      <c r="DJ96" s="5"/>
      <c r="DK96" s="5"/>
      <c r="DL96" s="5"/>
      <c r="DM96" s="5"/>
      <c r="DO96" s="6"/>
      <c r="DP96" s="1"/>
      <c r="DQ96" s="6"/>
      <c r="DR96" s="1"/>
      <c r="DS96" s="6"/>
      <c r="DT96" s="1"/>
      <c r="DU96" s="6"/>
      <c r="DV96" s="1"/>
      <c r="DW96" s="1"/>
      <c r="DY96" s="1"/>
      <c r="EA96" s="1"/>
      <c r="EC96" s="1"/>
      <c r="EE96" s="1"/>
    </row>
    <row r="97" spans="2:135" x14ac:dyDescent="0.2">
      <c r="B97" s="25"/>
      <c r="AJ97" s="5"/>
      <c r="AK97" s="5"/>
      <c r="AL97" s="5"/>
      <c r="AM97" s="5"/>
      <c r="AN97" s="23"/>
      <c r="AO97" s="5"/>
      <c r="AP97" s="5"/>
      <c r="AQ97" s="5"/>
      <c r="AR97" s="23"/>
      <c r="AS97" s="5"/>
      <c r="AT97" s="5"/>
      <c r="AU97" s="5"/>
      <c r="AV97" s="5"/>
      <c r="AW97" s="5"/>
      <c r="AX97" s="23"/>
      <c r="AY97" s="5"/>
      <c r="AZ97" s="5"/>
      <c r="BA97" s="5"/>
      <c r="BB97" s="5"/>
      <c r="BC97" s="5"/>
      <c r="BD97" s="5"/>
      <c r="BJ97" s="7"/>
      <c r="BL97" s="7"/>
      <c r="BT97" s="1"/>
      <c r="BV97" s="1"/>
      <c r="DE97" s="5"/>
      <c r="DF97" s="5"/>
      <c r="DG97" s="5"/>
      <c r="DH97" s="5"/>
      <c r="DI97" s="5"/>
      <c r="DJ97" s="5"/>
      <c r="DK97" s="5"/>
      <c r="DL97" s="5"/>
      <c r="DM97" s="5"/>
      <c r="DO97" s="6"/>
      <c r="DP97" s="1"/>
      <c r="DQ97" s="6"/>
      <c r="DR97" s="1"/>
      <c r="DS97" s="6"/>
      <c r="DT97" s="1"/>
      <c r="DU97" s="6"/>
      <c r="DV97" s="1"/>
      <c r="DW97" s="1"/>
      <c r="DY97" s="1"/>
      <c r="EA97" s="1"/>
      <c r="EC97" s="1"/>
      <c r="EE97" s="1"/>
    </row>
    <row r="98" spans="2:135" x14ac:dyDescent="0.2">
      <c r="B98" s="135"/>
      <c r="AJ98" s="43"/>
      <c r="AK98" s="43"/>
      <c r="AL98" s="43"/>
      <c r="AM98" s="43"/>
      <c r="AN98" s="23"/>
      <c r="AO98" s="43"/>
      <c r="AP98" s="23"/>
      <c r="AQ98" s="43"/>
      <c r="AR98" s="23"/>
      <c r="AS98" s="43"/>
      <c r="AT98" s="23"/>
      <c r="AU98" s="43"/>
      <c r="AV98" s="23"/>
      <c r="AW98" s="43"/>
      <c r="AX98" s="23"/>
      <c r="AY98" s="43"/>
      <c r="AZ98" s="23"/>
      <c r="BA98" s="43"/>
      <c r="BB98" s="23"/>
      <c r="BJ98" s="7"/>
      <c r="BL98" s="7"/>
      <c r="BT98" s="1"/>
      <c r="BV98" s="1"/>
      <c r="DE98" s="5"/>
      <c r="DF98" s="5"/>
      <c r="DG98" s="5"/>
      <c r="DH98" s="5"/>
      <c r="DI98" s="5"/>
      <c r="DJ98" s="5"/>
      <c r="DK98" s="5"/>
      <c r="DL98" s="5"/>
      <c r="DM98" s="5"/>
      <c r="DO98" s="6"/>
      <c r="DP98" s="1"/>
      <c r="DQ98" s="6"/>
      <c r="DR98" s="1"/>
      <c r="DS98" s="6"/>
      <c r="DT98" s="1"/>
      <c r="DU98" s="6"/>
      <c r="DV98" s="1"/>
      <c r="DW98" s="1"/>
      <c r="DY98" s="1"/>
      <c r="EA98" s="1"/>
      <c r="EC98" s="1"/>
      <c r="EE98" s="1"/>
    </row>
    <row r="99" spans="2:135" x14ac:dyDescent="0.2">
      <c r="B99" s="136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J99" s="7"/>
      <c r="BL99" s="7"/>
      <c r="BT99" s="1"/>
      <c r="BV99" s="1"/>
      <c r="DE99" s="5"/>
      <c r="DF99" s="5"/>
      <c r="DG99" s="5"/>
      <c r="DH99" s="5"/>
      <c r="DI99" s="5"/>
      <c r="DJ99" s="5"/>
      <c r="DK99" s="5"/>
      <c r="DL99" s="5"/>
      <c r="DM99" s="5"/>
      <c r="DO99" s="6"/>
      <c r="DP99" s="1"/>
      <c r="DQ99" s="6"/>
      <c r="DR99" s="1"/>
      <c r="DS99" s="6"/>
      <c r="DT99" s="1"/>
      <c r="DU99" s="6"/>
      <c r="DV99" s="1"/>
      <c r="DW99" s="1"/>
      <c r="DY99" s="1"/>
      <c r="EA99" s="1"/>
      <c r="EC99" s="1"/>
      <c r="EE99" s="1"/>
    </row>
    <row r="100" spans="2:135" x14ac:dyDescent="0.2">
      <c r="B100" s="9"/>
      <c r="BJ100" s="7"/>
      <c r="BL100" s="7"/>
      <c r="BT100" s="1"/>
      <c r="BV100" s="1"/>
      <c r="DE100" s="5"/>
      <c r="DF100" s="5"/>
      <c r="DG100" s="5"/>
      <c r="DH100" s="5"/>
      <c r="DI100" s="5"/>
      <c r="DJ100" s="5"/>
      <c r="DK100" s="5"/>
      <c r="DL100" s="5"/>
      <c r="DM100" s="5"/>
      <c r="DO100" s="6"/>
      <c r="DP100" s="1"/>
      <c r="DQ100" s="6"/>
      <c r="DR100" s="1"/>
      <c r="DS100" s="6"/>
      <c r="DT100" s="1"/>
      <c r="DU100" s="6"/>
      <c r="DV100" s="1"/>
      <c r="DW100" s="1"/>
      <c r="DY100" s="1"/>
      <c r="EA100" s="1"/>
      <c r="EC100" s="1"/>
      <c r="EE100" s="1"/>
    </row>
    <row r="101" spans="2:135" x14ac:dyDescent="0.2">
      <c r="B101" s="9"/>
      <c r="BJ101" s="7"/>
      <c r="BL101" s="7"/>
      <c r="BT101" s="1"/>
      <c r="BV101" s="1"/>
      <c r="DE101" s="5"/>
      <c r="DF101" s="5"/>
      <c r="DG101" s="5"/>
      <c r="DH101" s="5"/>
      <c r="DI101" s="5"/>
      <c r="DJ101" s="5"/>
      <c r="DK101" s="5"/>
      <c r="DL101" s="5"/>
      <c r="DM101" s="5"/>
      <c r="DO101" s="6"/>
      <c r="DP101" s="1"/>
      <c r="DQ101" s="6"/>
      <c r="DR101" s="1"/>
      <c r="DS101" s="6"/>
      <c r="DT101" s="1"/>
      <c r="DU101" s="6"/>
      <c r="DV101" s="1"/>
      <c r="DW101" s="1"/>
      <c r="DY101" s="1"/>
      <c r="EA101" s="1"/>
      <c r="EC101" s="1"/>
      <c r="EE101" s="1"/>
    </row>
    <row r="102" spans="2:135" x14ac:dyDescent="0.2">
      <c r="B102" s="9"/>
      <c r="AQ102" s="125"/>
      <c r="BJ102" s="7"/>
      <c r="BL102" s="7"/>
      <c r="BT102" s="1"/>
      <c r="BV102" s="1"/>
      <c r="DE102" s="5"/>
      <c r="DF102" s="5"/>
      <c r="DG102" s="5"/>
      <c r="DH102" s="5"/>
      <c r="DI102" s="5"/>
      <c r="DJ102" s="5"/>
      <c r="DK102" s="5"/>
      <c r="DL102" s="5"/>
      <c r="DM102" s="5"/>
      <c r="DO102" s="6"/>
      <c r="DP102" s="1"/>
      <c r="DQ102" s="6"/>
      <c r="DR102" s="1"/>
      <c r="DS102" s="6"/>
      <c r="DT102" s="1"/>
      <c r="DU102" s="6"/>
      <c r="DV102" s="1"/>
      <c r="DW102" s="1"/>
      <c r="DY102" s="1"/>
      <c r="EA102" s="1"/>
      <c r="EC102" s="1"/>
      <c r="EE102" s="1"/>
    </row>
    <row r="103" spans="2:135" x14ac:dyDescent="0.2">
      <c r="B103" s="9"/>
      <c r="AQ103" s="134"/>
      <c r="BJ103" s="7"/>
      <c r="BL103" s="7"/>
      <c r="BT103" s="1"/>
      <c r="BV103" s="1"/>
      <c r="DE103" s="5"/>
      <c r="DF103" s="5"/>
      <c r="DG103" s="5"/>
      <c r="DH103" s="5"/>
      <c r="DI103" s="5"/>
      <c r="DJ103" s="5"/>
      <c r="DK103" s="5"/>
      <c r="DL103" s="5"/>
      <c r="DM103" s="5"/>
      <c r="DO103" s="6"/>
      <c r="DP103" s="1"/>
      <c r="DQ103" s="6"/>
      <c r="DR103" s="1"/>
      <c r="DS103" s="6"/>
      <c r="DT103" s="1"/>
      <c r="DU103" s="6"/>
      <c r="DV103" s="1"/>
      <c r="DW103" s="1"/>
      <c r="DY103" s="1"/>
      <c r="EA103" s="1"/>
      <c r="EC103" s="1"/>
      <c r="EE103" s="1"/>
    </row>
    <row r="104" spans="2:135" x14ac:dyDescent="0.2">
      <c r="B104" s="9"/>
      <c r="BJ104" s="7"/>
      <c r="BL104" s="7"/>
      <c r="BT104" s="1"/>
      <c r="BV104" s="1"/>
      <c r="DE104" s="5"/>
      <c r="DF104" s="5"/>
      <c r="DG104" s="5"/>
      <c r="DH104" s="5"/>
      <c r="DI104" s="5"/>
      <c r="DJ104" s="5"/>
      <c r="DK104" s="5"/>
      <c r="DL104" s="5"/>
      <c r="DM104" s="5"/>
      <c r="DO104" s="6"/>
      <c r="DP104" s="1"/>
      <c r="DQ104" s="6"/>
      <c r="DR104" s="1"/>
      <c r="DS104" s="6"/>
      <c r="DT104" s="1"/>
      <c r="DU104" s="6"/>
      <c r="DV104" s="1"/>
      <c r="DW104" s="1"/>
      <c r="DY104" s="1"/>
      <c r="EA104" s="1"/>
      <c r="EC104" s="1"/>
      <c r="EE104" s="1"/>
    </row>
    <row r="105" spans="2:135" x14ac:dyDescent="0.2">
      <c r="B105" s="9"/>
      <c r="BJ105" s="7"/>
      <c r="BL105" s="7"/>
      <c r="BT105" s="1"/>
      <c r="BV105" s="1"/>
      <c r="DE105" s="5"/>
      <c r="DF105" s="5"/>
      <c r="DG105" s="5"/>
      <c r="DH105" s="5"/>
      <c r="DI105" s="5"/>
      <c r="DJ105" s="5"/>
      <c r="DK105" s="5"/>
      <c r="DL105" s="5"/>
      <c r="DM105" s="5"/>
      <c r="DO105" s="6"/>
      <c r="DP105" s="1"/>
      <c r="DQ105" s="6"/>
      <c r="DR105" s="1"/>
      <c r="DS105" s="6"/>
      <c r="DT105" s="1"/>
      <c r="DU105" s="6"/>
      <c r="DV105" s="1"/>
      <c r="DW105" s="1"/>
      <c r="DY105" s="1"/>
      <c r="EA105" s="1"/>
      <c r="EC105" s="1"/>
      <c r="EE105" s="1"/>
    </row>
    <row r="106" spans="2:135" x14ac:dyDescent="0.2">
      <c r="B106" s="9"/>
      <c r="BJ106" s="7"/>
      <c r="BL106" s="7"/>
      <c r="BT106" s="1"/>
      <c r="BV106" s="1"/>
      <c r="DE106" s="5"/>
      <c r="DF106" s="5"/>
      <c r="DG106" s="5"/>
      <c r="DH106" s="5"/>
      <c r="DI106" s="5"/>
      <c r="DJ106" s="5"/>
      <c r="DK106" s="5"/>
      <c r="DL106" s="5"/>
      <c r="DM106" s="5"/>
      <c r="DO106" s="6"/>
      <c r="DP106" s="1"/>
      <c r="DQ106" s="6"/>
      <c r="DR106" s="1"/>
      <c r="DS106" s="6"/>
      <c r="DT106" s="1"/>
      <c r="DU106" s="6"/>
      <c r="DV106" s="1"/>
      <c r="DW106" s="1"/>
      <c r="DY106" s="1"/>
      <c r="EA106" s="1"/>
      <c r="EC106" s="1"/>
      <c r="EE106" s="1"/>
    </row>
    <row r="107" spans="2:135" x14ac:dyDescent="0.2">
      <c r="B107" s="9"/>
      <c r="BJ107" s="7"/>
      <c r="BL107" s="7"/>
      <c r="BT107" s="1"/>
      <c r="BV107" s="1"/>
      <c r="DE107" s="5"/>
      <c r="DF107" s="5"/>
      <c r="DG107" s="5"/>
      <c r="DH107" s="5"/>
      <c r="DI107" s="5"/>
      <c r="DJ107" s="5"/>
      <c r="DK107" s="5"/>
      <c r="DL107" s="5"/>
      <c r="DM107" s="5"/>
      <c r="DO107" s="6"/>
      <c r="DP107" s="1"/>
      <c r="DQ107" s="6"/>
      <c r="DR107" s="1"/>
      <c r="DS107" s="6"/>
      <c r="DT107" s="1"/>
      <c r="DU107" s="6"/>
      <c r="DV107" s="1"/>
      <c r="DW107" s="1"/>
      <c r="DY107" s="1"/>
      <c r="EA107" s="1"/>
      <c r="EC107" s="1"/>
      <c r="EE107" s="1"/>
    </row>
    <row r="108" spans="2:135" x14ac:dyDescent="0.2">
      <c r="B108" s="9"/>
      <c r="BJ108" s="7"/>
      <c r="BL108" s="7"/>
      <c r="BT108" s="1"/>
      <c r="BV108" s="1"/>
      <c r="DE108" s="5"/>
      <c r="DF108" s="5"/>
      <c r="DG108" s="5"/>
      <c r="DH108" s="5"/>
      <c r="DI108" s="5"/>
      <c r="DJ108" s="5"/>
      <c r="DK108" s="5"/>
      <c r="DL108" s="5"/>
      <c r="DM108" s="5"/>
      <c r="DO108" s="6"/>
      <c r="DP108" s="1"/>
      <c r="DQ108" s="6"/>
      <c r="DR108" s="1"/>
      <c r="DS108" s="6"/>
      <c r="DT108" s="1"/>
      <c r="DU108" s="6"/>
      <c r="DV108" s="1"/>
      <c r="DW108" s="1"/>
      <c r="DY108" s="1"/>
      <c r="EA108" s="1"/>
      <c r="EC108" s="1"/>
      <c r="EE108" s="1"/>
    </row>
    <row r="109" spans="2:135" x14ac:dyDescent="0.2">
      <c r="B109" s="9"/>
      <c r="BJ109" s="7"/>
      <c r="BL109" s="7"/>
      <c r="BT109" s="1"/>
      <c r="BV109" s="1"/>
      <c r="DE109" s="5"/>
      <c r="DF109" s="5"/>
      <c r="DG109" s="5"/>
      <c r="DH109" s="5"/>
      <c r="DI109" s="5"/>
      <c r="DJ109" s="5"/>
      <c r="DK109" s="5"/>
      <c r="DL109" s="5"/>
      <c r="DM109" s="5"/>
      <c r="DO109" s="6"/>
      <c r="DP109" s="1"/>
      <c r="DQ109" s="6"/>
      <c r="DR109" s="1"/>
      <c r="DS109" s="6"/>
      <c r="DT109" s="1"/>
      <c r="DU109" s="6"/>
      <c r="DV109" s="1"/>
      <c r="DW109" s="1"/>
      <c r="DY109" s="1"/>
      <c r="EA109" s="1"/>
      <c r="EC109" s="1"/>
      <c r="EE109" s="1"/>
    </row>
    <row r="110" spans="2:135" x14ac:dyDescent="0.2">
      <c r="B110" s="125"/>
    </row>
    <row r="111" spans="2:135" x14ac:dyDescent="0.2">
      <c r="B111" s="125"/>
    </row>
    <row r="112" spans="2:135" x14ac:dyDescent="0.2">
      <c r="B112" s="134"/>
    </row>
    <row r="131" spans="1:135" x14ac:dyDescent="0.2">
      <c r="A131" s="137"/>
      <c r="B131" s="137"/>
      <c r="C131" s="137"/>
      <c r="D131" s="137"/>
      <c r="E131" s="137"/>
    </row>
    <row r="132" spans="1:135" x14ac:dyDescent="0.2">
      <c r="A132" s="137"/>
      <c r="B132" s="137"/>
      <c r="C132" s="137"/>
      <c r="D132" s="137"/>
      <c r="E132" s="137"/>
    </row>
    <row r="133" spans="1:135" x14ac:dyDescent="0.2">
      <c r="A133" s="137"/>
      <c r="B133" s="137"/>
      <c r="C133" s="137"/>
      <c r="D133" s="137"/>
      <c r="E133" s="13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38"/>
      <c r="R133" s="138"/>
      <c r="S133" s="138"/>
      <c r="T133" s="138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135" ht="15" thickBot="1" x14ac:dyDescent="0.25">
      <c r="A134" s="137"/>
      <c r="B134" s="137"/>
      <c r="C134" s="137"/>
      <c r="D134" s="137"/>
      <c r="E134" s="13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38"/>
      <c r="R134" s="138"/>
      <c r="S134" s="138"/>
      <c r="T134" s="138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135" ht="16" x14ac:dyDescent="0.2">
      <c r="A135" s="137"/>
      <c r="B135" s="177" t="s">
        <v>77</v>
      </c>
      <c r="C135" s="169" t="s">
        <v>62</v>
      </c>
      <c r="D135" s="169" t="s">
        <v>67</v>
      </c>
      <c r="E135" s="169" t="s">
        <v>63</v>
      </c>
      <c r="F135" s="169" t="s">
        <v>75</v>
      </c>
      <c r="G135" s="169" t="s">
        <v>64</v>
      </c>
      <c r="H135" s="169" t="s">
        <v>65</v>
      </c>
      <c r="I135" s="169" t="s">
        <v>73</v>
      </c>
      <c r="J135" s="169" t="s">
        <v>71</v>
      </c>
      <c r="K135" s="169" t="s">
        <v>69</v>
      </c>
      <c r="L135" s="169" t="s">
        <v>66</v>
      </c>
      <c r="M135" s="169" t="s">
        <v>72</v>
      </c>
      <c r="N135" s="169" t="s">
        <v>70</v>
      </c>
      <c r="O135" s="170" t="s">
        <v>68</v>
      </c>
      <c r="P135" s="7"/>
      <c r="Q135" s="138"/>
      <c r="R135" s="138"/>
      <c r="S135" s="138"/>
      <c r="T135" s="138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135" ht="16" x14ac:dyDescent="0.2">
      <c r="A136" s="137"/>
      <c r="B136" s="171" t="s">
        <v>60</v>
      </c>
      <c r="C136" s="198">
        <v>1069693</v>
      </c>
      <c r="D136" s="198">
        <v>8032713</v>
      </c>
      <c r="E136" s="198">
        <v>809636</v>
      </c>
      <c r="F136" s="199">
        <v>28600000</v>
      </c>
      <c r="G136" s="198">
        <v>10189233</v>
      </c>
      <c r="H136" s="198">
        <v>12020903</v>
      </c>
      <c r="I136" s="198">
        <v>153467</v>
      </c>
      <c r="J136" s="198">
        <v>76415</v>
      </c>
      <c r="K136" s="198">
        <v>816274</v>
      </c>
      <c r="L136" s="198">
        <v>8329451</v>
      </c>
      <c r="M136" s="198">
        <v>42770</v>
      </c>
      <c r="N136" s="198">
        <v>1151115</v>
      </c>
      <c r="O136" s="201">
        <v>3006349</v>
      </c>
      <c r="P136" s="7"/>
      <c r="Q136" s="138"/>
      <c r="R136" s="138"/>
      <c r="S136" s="138"/>
      <c r="T136" s="138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135" ht="16" x14ac:dyDescent="0.2">
      <c r="A137" s="137"/>
      <c r="B137" s="172" t="s">
        <v>58</v>
      </c>
      <c r="C137" s="200">
        <v>17830687</v>
      </c>
      <c r="D137" s="200">
        <v>45487062</v>
      </c>
      <c r="E137" s="200">
        <v>11784623</v>
      </c>
      <c r="F137" s="200">
        <v>213621654</v>
      </c>
      <c r="G137" s="200">
        <v>19231484</v>
      </c>
      <c r="H137" s="200">
        <v>51263550</v>
      </c>
      <c r="I137" s="200">
        <v>304075</v>
      </c>
      <c r="J137" s="200">
        <v>789223</v>
      </c>
      <c r="K137" s="200">
        <v>7193985</v>
      </c>
      <c r="L137" s="200">
        <v>33293729</v>
      </c>
      <c r="M137" s="200">
        <v>590324</v>
      </c>
      <c r="N137" s="200">
        <v>3482207</v>
      </c>
      <c r="O137" s="202">
        <v>28379060</v>
      </c>
      <c r="P137" s="7"/>
      <c r="Q137" s="138"/>
      <c r="R137" s="138"/>
      <c r="S137" s="138"/>
      <c r="T137" s="138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135" ht="16" x14ac:dyDescent="0.2">
      <c r="A138" s="137"/>
      <c r="B138" s="173" t="s">
        <v>59</v>
      </c>
      <c r="C138" s="188">
        <f>C136/C137</f>
        <v>5.9991687364597895E-2</v>
      </c>
      <c r="D138" s="188">
        <f>D136/D137</f>
        <v>0.17659335746942725</v>
      </c>
      <c r="E138" s="188">
        <f t="shared" ref="E138:O138" si="102">E136/E137</f>
        <v>6.8702749336996188E-2</v>
      </c>
      <c r="F138" s="188">
        <f t="shared" si="102"/>
        <v>0.13388155865509777</v>
      </c>
      <c r="G138" s="188">
        <f t="shared" si="102"/>
        <v>0.52982042363449433</v>
      </c>
      <c r="H138" s="188">
        <f t="shared" si="102"/>
        <v>0.23449220742613416</v>
      </c>
      <c r="I138" s="188">
        <f t="shared" si="102"/>
        <v>0.50470114281016198</v>
      </c>
      <c r="J138" s="188">
        <f t="shared" si="102"/>
        <v>9.6823077887998696E-2</v>
      </c>
      <c r="K138" s="188">
        <f t="shared" si="102"/>
        <v>0.11346618042712071</v>
      </c>
      <c r="L138" s="188">
        <f t="shared" si="102"/>
        <v>0.2501807772869179</v>
      </c>
      <c r="M138" s="188">
        <f t="shared" si="102"/>
        <v>7.2451738367405025E-2</v>
      </c>
      <c r="N138" s="188">
        <f t="shared" si="102"/>
        <v>0.33057052610600118</v>
      </c>
      <c r="O138" s="189">
        <f t="shared" si="102"/>
        <v>0.10593546791190406</v>
      </c>
      <c r="P138" s="7"/>
      <c r="Q138" s="138"/>
      <c r="R138" s="138"/>
      <c r="S138" s="138"/>
      <c r="T138" s="138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135" ht="16" x14ac:dyDescent="0.2">
      <c r="A139" s="137"/>
      <c r="B139" s="174" t="s">
        <v>61</v>
      </c>
      <c r="C139" s="198">
        <v>59992</v>
      </c>
      <c r="D139" s="198">
        <v>176593</v>
      </c>
      <c r="E139" s="198">
        <v>68703</v>
      </c>
      <c r="F139" s="198">
        <v>133882</v>
      </c>
      <c r="G139" s="198">
        <v>529820</v>
      </c>
      <c r="H139" s="198">
        <v>234492</v>
      </c>
      <c r="I139" s="198">
        <v>504701</v>
      </c>
      <c r="J139" s="198">
        <v>96823</v>
      </c>
      <c r="K139" s="198">
        <v>113466</v>
      </c>
      <c r="L139" s="198">
        <v>250181</v>
      </c>
      <c r="M139" s="198">
        <v>72452</v>
      </c>
      <c r="N139" s="198">
        <v>330571</v>
      </c>
      <c r="O139" s="203">
        <v>105935</v>
      </c>
      <c r="P139" s="7"/>
      <c r="Q139" s="138"/>
      <c r="R139" s="138"/>
      <c r="S139" s="138"/>
      <c r="T139" s="138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135" ht="17" thickBot="1" x14ac:dyDescent="0.25">
      <c r="A140" s="137"/>
      <c r="B140" s="175" t="s">
        <v>74</v>
      </c>
      <c r="C140" s="190">
        <v>149</v>
      </c>
      <c r="D140" s="190">
        <v>111</v>
      </c>
      <c r="E140" s="190">
        <v>147</v>
      </c>
      <c r="F140" s="190">
        <v>121</v>
      </c>
      <c r="G140" s="190">
        <v>54</v>
      </c>
      <c r="H140" s="190">
        <v>97</v>
      </c>
      <c r="I140" s="190">
        <v>58</v>
      </c>
      <c r="J140" s="190">
        <v>135</v>
      </c>
      <c r="K140" s="190">
        <v>130</v>
      </c>
      <c r="L140" s="190">
        <v>94</v>
      </c>
      <c r="M140" s="190">
        <v>145</v>
      </c>
      <c r="N140" s="190">
        <v>83</v>
      </c>
      <c r="O140" s="191">
        <v>133</v>
      </c>
      <c r="P140" s="7"/>
      <c r="Q140" s="138"/>
      <c r="R140" s="138"/>
      <c r="S140" s="138"/>
      <c r="T140" s="138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135" s="5" customFormat="1" ht="16" x14ac:dyDescent="0.2">
      <c r="A141" s="23"/>
      <c r="B141" s="167" t="s">
        <v>76</v>
      </c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43"/>
      <c r="Q141" s="140"/>
      <c r="R141" s="140"/>
      <c r="S141" s="140"/>
      <c r="T141" s="140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BT141" s="43"/>
      <c r="BV141" s="43"/>
      <c r="DY141" s="141"/>
      <c r="EA141" s="141"/>
      <c r="EC141" s="141"/>
      <c r="EE141" s="141"/>
    </row>
    <row r="142" spans="1:135" s="5" customFormat="1" x14ac:dyDescent="0.2">
      <c r="A142" s="23"/>
      <c r="B142" s="178"/>
      <c r="C142" s="17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43"/>
      <c r="Q142" s="140"/>
      <c r="R142" s="140"/>
      <c r="S142" s="140"/>
      <c r="T142" s="140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BT142" s="43"/>
      <c r="BV142" s="43"/>
      <c r="DY142" s="141"/>
      <c r="EA142" s="141"/>
      <c r="EC142" s="141"/>
      <c r="EE142" s="141"/>
    </row>
    <row r="143" spans="1:135" s="5" customFormat="1" x14ac:dyDescent="0.2">
      <c r="A143" s="23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43"/>
      <c r="Q143" s="140"/>
      <c r="R143" s="140"/>
      <c r="S143" s="140"/>
      <c r="T143" s="140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BT143" s="43"/>
      <c r="BV143" s="43"/>
      <c r="DY143" s="141"/>
      <c r="EA143" s="141"/>
      <c r="EC143" s="141"/>
      <c r="EE143" s="141"/>
    </row>
    <row r="144" spans="1:13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38"/>
      <c r="R144" s="138"/>
      <c r="S144" s="138"/>
      <c r="T144" s="138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117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38"/>
      <c r="R145" s="138"/>
      <c r="S145" s="138"/>
      <c r="T145" s="138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117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38"/>
      <c r="R146" s="138"/>
      <c r="S146" s="138"/>
      <c r="T146" s="138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117" s="137" customFormat="1" x14ac:dyDescent="0.2">
      <c r="A147" s="7"/>
      <c r="B147" s="137" t="s">
        <v>57</v>
      </c>
      <c r="C147" s="137" t="s">
        <v>78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CW147" s="23"/>
      <c r="CX147" s="23"/>
      <c r="CY147" s="23"/>
      <c r="CZ147" s="23"/>
      <c r="DA147" s="23"/>
      <c r="DB147" s="23"/>
      <c r="DC147" s="23"/>
      <c r="DD147" s="23"/>
      <c r="DE147" s="23"/>
      <c r="DG147" s="142"/>
      <c r="DI147" s="142"/>
      <c r="DK147" s="142"/>
      <c r="DM147" s="142"/>
    </row>
    <row r="148" spans="1:117" s="137" customFormat="1" x14ac:dyDescent="0.2">
      <c r="A148" s="7"/>
      <c r="B148" s="137">
        <v>14</v>
      </c>
      <c r="C148" s="137">
        <f>4347-4346</f>
        <v>1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CW148" s="23"/>
      <c r="CX148" s="23"/>
      <c r="CY148" s="23"/>
      <c r="CZ148" s="23"/>
      <c r="DA148" s="23"/>
      <c r="DB148" s="23"/>
      <c r="DC148" s="23"/>
      <c r="DD148" s="23"/>
      <c r="DE148" s="23"/>
      <c r="DG148" s="142"/>
      <c r="DI148" s="142"/>
      <c r="DK148" s="142"/>
      <c r="DM148" s="142"/>
    </row>
    <row r="149" spans="1:117" s="137" customFormat="1" x14ac:dyDescent="0.2">
      <c r="A149" s="7"/>
      <c r="B149" s="137">
        <v>17</v>
      </c>
      <c r="C149" s="137">
        <v>1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CW149" s="23"/>
      <c r="CX149" s="23"/>
      <c r="CY149" s="23"/>
      <c r="CZ149" s="23"/>
      <c r="DA149" s="23"/>
      <c r="DB149" s="23"/>
      <c r="DC149" s="23"/>
      <c r="DD149" s="23"/>
      <c r="DE149" s="23"/>
      <c r="DG149" s="142"/>
      <c r="DI149" s="142"/>
      <c r="DK149" s="142"/>
      <c r="DM149" s="142"/>
    </row>
    <row r="150" spans="1:117" s="137" customFormat="1" x14ac:dyDescent="0.2">
      <c r="A150" s="7"/>
      <c r="B150" s="137">
        <v>18</v>
      </c>
      <c r="C150" s="137">
        <v>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CW150" s="23"/>
      <c r="CX150" s="23"/>
      <c r="CY150" s="23"/>
      <c r="CZ150" s="23"/>
      <c r="DA150" s="23"/>
      <c r="DB150" s="23"/>
      <c r="DC150" s="23"/>
      <c r="DD150" s="23"/>
      <c r="DE150" s="23"/>
      <c r="DG150" s="142"/>
      <c r="DI150" s="142"/>
      <c r="DK150" s="142"/>
      <c r="DM150" s="142"/>
    </row>
    <row r="151" spans="1:117" s="137" customFormat="1" x14ac:dyDescent="0.2">
      <c r="A151" s="7"/>
      <c r="B151" s="137">
        <v>22</v>
      </c>
      <c r="C151" s="137">
        <v>1</v>
      </c>
      <c r="F151" s="7"/>
      <c r="G151" s="7"/>
      <c r="H151" s="7"/>
      <c r="I151" s="7"/>
      <c r="CW151" s="23"/>
      <c r="CX151" s="23"/>
      <c r="CY151" s="23"/>
      <c r="CZ151" s="23"/>
      <c r="DA151" s="23"/>
      <c r="DB151" s="23"/>
      <c r="DC151" s="23"/>
      <c r="DD151" s="23"/>
      <c r="DE151" s="23"/>
      <c r="DG151" s="142"/>
      <c r="DI151" s="142"/>
      <c r="DK151" s="142"/>
      <c r="DM151" s="142"/>
    </row>
    <row r="152" spans="1:117" s="137" customFormat="1" x14ac:dyDescent="0.2">
      <c r="A152" s="7"/>
      <c r="B152" s="137">
        <v>36</v>
      </c>
      <c r="C152" s="137">
        <v>1</v>
      </c>
      <c r="F152" s="7"/>
      <c r="G152" s="7"/>
      <c r="H152" s="7"/>
      <c r="I152" s="7"/>
      <c r="CT152" s="23"/>
      <c r="CU152" s="23"/>
      <c r="CV152" s="23"/>
      <c r="CW152" s="23"/>
      <c r="CX152" s="23"/>
      <c r="CY152" s="23"/>
      <c r="CZ152" s="23"/>
      <c r="DA152" s="23"/>
      <c r="DB152" s="23"/>
      <c r="DD152" s="142"/>
      <c r="DF152" s="142"/>
      <c r="DH152" s="142"/>
      <c r="DJ152" s="142"/>
    </row>
    <row r="153" spans="1:117" s="137" customFormat="1" x14ac:dyDescent="0.2">
      <c r="A153" s="7"/>
      <c r="B153" s="137">
        <v>40</v>
      </c>
      <c r="C153" s="137">
        <v>1</v>
      </c>
      <c r="F153" s="7"/>
      <c r="G153" s="7"/>
      <c r="H153" s="7"/>
      <c r="I153" s="7"/>
      <c r="CT153" s="23"/>
      <c r="CU153" s="23"/>
      <c r="CV153" s="23"/>
      <c r="CW153" s="23"/>
      <c r="CX153" s="23"/>
      <c r="CY153" s="23"/>
      <c r="CZ153" s="23"/>
      <c r="DA153" s="23"/>
      <c r="DB153" s="23"/>
      <c r="DD153" s="142"/>
      <c r="DF153" s="142"/>
      <c r="DH153" s="142"/>
      <c r="DJ153" s="142"/>
    </row>
    <row r="154" spans="1:117" s="137" customFormat="1" x14ac:dyDescent="0.2">
      <c r="A154" s="7"/>
      <c r="B154" s="137">
        <v>41</v>
      </c>
      <c r="C154" s="137">
        <v>2</v>
      </c>
      <c r="F154" s="7"/>
      <c r="G154" s="7"/>
      <c r="H154" s="7"/>
      <c r="I154" s="7"/>
      <c r="CT154" s="23"/>
      <c r="CU154" s="23"/>
      <c r="CV154" s="23"/>
      <c r="CW154" s="23"/>
      <c r="CX154" s="23"/>
      <c r="CY154" s="23"/>
      <c r="CZ154" s="23"/>
      <c r="DA154" s="23"/>
      <c r="DB154" s="23"/>
      <c r="DD154" s="142"/>
      <c r="DF154" s="142"/>
      <c r="DH154" s="142"/>
      <c r="DJ154" s="142"/>
    </row>
    <row r="155" spans="1:117" s="137" customFormat="1" x14ac:dyDescent="0.2">
      <c r="A155" s="7"/>
      <c r="B155" s="137">
        <v>43</v>
      </c>
      <c r="C155" s="137">
        <v>1</v>
      </c>
      <c r="F155" s="7"/>
      <c r="G155" s="7"/>
      <c r="H155" s="7"/>
      <c r="I155" s="7"/>
      <c r="CT155" s="23"/>
      <c r="CU155" s="23"/>
      <c r="CV155" s="23"/>
      <c r="CW155" s="23"/>
      <c r="CX155" s="23"/>
      <c r="CY155" s="23"/>
      <c r="CZ155" s="23"/>
      <c r="DA155" s="23"/>
      <c r="DB155" s="23"/>
      <c r="DD155" s="142"/>
      <c r="DF155" s="142"/>
      <c r="DH155" s="142"/>
      <c r="DJ155" s="142"/>
    </row>
    <row r="156" spans="1:117" s="137" customFormat="1" x14ac:dyDescent="0.2">
      <c r="A156" s="7"/>
      <c r="B156" s="137">
        <v>44</v>
      </c>
      <c r="C156" s="137">
        <v>2</v>
      </c>
      <c r="F156" s="7"/>
      <c r="G156" s="7"/>
      <c r="H156" s="7"/>
      <c r="I156" s="7"/>
      <c r="CT156" s="23"/>
      <c r="CU156" s="23"/>
      <c r="CV156" s="23"/>
      <c r="CW156" s="23"/>
      <c r="CX156" s="23"/>
      <c r="CY156" s="23"/>
      <c r="CZ156" s="23"/>
      <c r="DA156" s="23"/>
      <c r="DB156" s="23"/>
      <c r="DD156" s="142"/>
      <c r="DF156" s="142"/>
      <c r="DH156" s="142"/>
      <c r="DJ156" s="142"/>
    </row>
    <row r="157" spans="1:117" s="137" customFormat="1" x14ac:dyDescent="0.2">
      <c r="A157" s="7"/>
      <c r="B157" s="137">
        <v>45</v>
      </c>
      <c r="C157" s="137">
        <v>2</v>
      </c>
      <c r="F157" s="7"/>
      <c r="G157" s="7"/>
      <c r="H157" s="7"/>
      <c r="I157" s="7"/>
      <c r="CT157" s="23"/>
      <c r="CU157" s="23"/>
      <c r="CV157" s="23"/>
      <c r="CW157" s="23"/>
      <c r="CX157" s="23"/>
      <c r="CY157" s="23"/>
      <c r="CZ157" s="23"/>
      <c r="DA157" s="23"/>
      <c r="DB157" s="23"/>
      <c r="DD157" s="142"/>
      <c r="DF157" s="142"/>
      <c r="DH157" s="142"/>
      <c r="DJ157" s="142"/>
    </row>
    <row r="158" spans="1:117" s="137" customFormat="1" x14ac:dyDescent="0.2">
      <c r="A158" s="7"/>
      <c r="B158" s="137">
        <v>46</v>
      </c>
      <c r="C158" s="137">
        <v>4</v>
      </c>
      <c r="F158" s="7"/>
      <c r="G158" s="7"/>
      <c r="H158" s="7"/>
      <c r="I158" s="7"/>
      <c r="CT158" s="23"/>
      <c r="CU158" s="23"/>
      <c r="CV158" s="23"/>
      <c r="CW158" s="23"/>
      <c r="CX158" s="23"/>
      <c r="CY158" s="23"/>
      <c r="CZ158" s="23"/>
      <c r="DA158" s="23"/>
      <c r="DB158" s="23"/>
      <c r="DD158" s="142"/>
      <c r="DF158" s="142"/>
      <c r="DH158" s="142"/>
      <c r="DJ158" s="142"/>
    </row>
    <row r="159" spans="1:117" s="137" customFormat="1" x14ac:dyDescent="0.2">
      <c r="A159" s="7"/>
      <c r="B159" s="137">
        <v>47</v>
      </c>
      <c r="C159" s="137">
        <v>10</v>
      </c>
      <c r="F159" s="7"/>
      <c r="G159" s="7"/>
      <c r="H159" s="7"/>
      <c r="I159" s="7"/>
      <c r="CT159" s="23"/>
      <c r="CU159" s="23"/>
      <c r="CV159" s="23"/>
      <c r="CW159" s="23"/>
      <c r="CX159" s="23"/>
      <c r="CY159" s="23"/>
      <c r="CZ159" s="23"/>
      <c r="DA159" s="23"/>
      <c r="DB159" s="23"/>
      <c r="DD159" s="142"/>
      <c r="DF159" s="142"/>
      <c r="DH159" s="142"/>
      <c r="DJ159" s="142"/>
    </row>
    <row r="160" spans="1:117" s="137" customFormat="1" x14ac:dyDescent="0.2">
      <c r="A160" s="7"/>
      <c r="B160" s="137">
        <v>48</v>
      </c>
      <c r="C160" s="137">
        <v>14</v>
      </c>
      <c r="F160" s="7"/>
      <c r="G160" s="7"/>
      <c r="H160" s="7"/>
      <c r="I160" s="7"/>
      <c r="CT160" s="23"/>
      <c r="CU160" s="23"/>
      <c r="CV160" s="23"/>
      <c r="CW160" s="23"/>
      <c r="CX160" s="23"/>
      <c r="CY160" s="23"/>
      <c r="CZ160" s="23"/>
      <c r="DA160" s="23"/>
      <c r="DB160" s="23"/>
      <c r="DD160" s="142"/>
      <c r="DF160" s="142"/>
      <c r="DH160" s="142"/>
      <c r="DJ160" s="142"/>
    </row>
    <row r="161" spans="1:114" s="137" customFormat="1" x14ac:dyDescent="0.2">
      <c r="A161" s="7"/>
      <c r="B161" s="137">
        <v>49</v>
      </c>
      <c r="C161" s="137">
        <v>20</v>
      </c>
      <c r="F161" s="7"/>
      <c r="G161" s="7"/>
      <c r="H161" s="7"/>
      <c r="I161" s="7"/>
      <c r="CT161" s="23"/>
      <c r="CU161" s="23"/>
      <c r="CV161" s="23"/>
      <c r="CW161" s="23"/>
      <c r="CX161" s="23"/>
      <c r="CY161" s="23"/>
      <c r="CZ161" s="23"/>
      <c r="DA161" s="23"/>
      <c r="DB161" s="23"/>
      <c r="DD161" s="142"/>
      <c r="DF161" s="142"/>
      <c r="DH161" s="142"/>
      <c r="DJ161" s="142"/>
    </row>
    <row r="162" spans="1:114" s="137" customFormat="1" x14ac:dyDescent="0.2">
      <c r="A162" s="7"/>
      <c r="B162" s="137">
        <v>50</v>
      </c>
      <c r="C162" s="137">
        <v>30</v>
      </c>
      <c r="F162" s="7"/>
      <c r="G162" s="7"/>
      <c r="H162" s="7"/>
      <c r="I162" s="7"/>
      <c r="CT162" s="23"/>
      <c r="CU162" s="23"/>
      <c r="CV162" s="23"/>
      <c r="CW162" s="23"/>
      <c r="CX162" s="23"/>
      <c r="CY162" s="23"/>
      <c r="CZ162" s="23"/>
      <c r="DA162" s="23"/>
      <c r="DB162" s="23"/>
      <c r="DD162" s="142"/>
      <c r="DF162" s="142"/>
      <c r="DH162" s="142"/>
      <c r="DJ162" s="142"/>
    </row>
    <row r="163" spans="1:114" s="137" customFormat="1" x14ac:dyDescent="0.2">
      <c r="A163" s="7"/>
      <c r="B163" s="137">
        <v>51</v>
      </c>
      <c r="C163" s="137">
        <v>33</v>
      </c>
      <c r="F163" s="7"/>
      <c r="G163" s="7"/>
      <c r="H163" s="7"/>
      <c r="I163" s="7"/>
      <c r="CT163" s="23"/>
      <c r="CU163" s="23"/>
      <c r="CV163" s="23"/>
      <c r="CW163" s="23"/>
      <c r="CX163" s="23"/>
      <c r="CY163" s="23"/>
      <c r="CZ163" s="23"/>
      <c r="DA163" s="23"/>
      <c r="DB163" s="23"/>
      <c r="DD163" s="142"/>
      <c r="DF163" s="142"/>
      <c r="DH163" s="142"/>
      <c r="DJ163" s="142"/>
    </row>
    <row r="164" spans="1:114" s="137" customFormat="1" x14ac:dyDescent="0.2">
      <c r="A164" s="7"/>
      <c r="B164" s="137">
        <v>52</v>
      </c>
      <c r="C164" s="137">
        <v>15</v>
      </c>
      <c r="F164" s="7"/>
      <c r="G164" s="7"/>
      <c r="H164" s="7"/>
      <c r="I164" s="7"/>
      <c r="CT164" s="23"/>
      <c r="CU164" s="23"/>
      <c r="CV164" s="23"/>
      <c r="CW164" s="23"/>
      <c r="CX164" s="23"/>
      <c r="CY164" s="23"/>
      <c r="CZ164" s="23"/>
      <c r="DA164" s="23"/>
      <c r="DB164" s="23"/>
      <c r="DD164" s="142"/>
      <c r="DF164" s="142"/>
      <c r="DH164" s="142"/>
      <c r="DJ164" s="142"/>
    </row>
    <row r="165" spans="1:114" s="137" customFormat="1" x14ac:dyDescent="0.2">
      <c r="A165" s="7"/>
      <c r="B165" s="137">
        <v>53</v>
      </c>
      <c r="C165" s="137">
        <v>32</v>
      </c>
      <c r="F165" s="7"/>
      <c r="G165" s="7"/>
      <c r="H165" s="7"/>
      <c r="I165" s="7"/>
      <c r="CT165" s="23"/>
      <c r="CU165" s="23"/>
      <c r="CV165" s="23"/>
      <c r="CW165" s="23"/>
      <c r="CX165" s="23"/>
      <c r="CY165" s="23"/>
      <c r="CZ165" s="23"/>
      <c r="DA165" s="23"/>
      <c r="DB165" s="23"/>
      <c r="DD165" s="142"/>
      <c r="DF165" s="142"/>
      <c r="DH165" s="142"/>
      <c r="DJ165" s="142"/>
    </row>
    <row r="166" spans="1:114" s="137" customFormat="1" x14ac:dyDescent="0.2">
      <c r="A166" s="7"/>
      <c r="B166" s="137">
        <v>1</v>
      </c>
      <c r="C166" s="137">
        <v>135</v>
      </c>
      <c r="F166" s="7"/>
      <c r="G166" s="7"/>
      <c r="H166" s="7"/>
      <c r="I166" s="7"/>
      <c r="CT166" s="23"/>
      <c r="CU166" s="23"/>
      <c r="CV166" s="23"/>
      <c r="CW166" s="23"/>
      <c r="CX166" s="23"/>
      <c r="CY166" s="23"/>
      <c r="CZ166" s="23"/>
      <c r="DA166" s="23"/>
      <c r="DB166" s="23"/>
      <c r="DD166" s="142"/>
      <c r="DF166" s="142"/>
      <c r="DH166" s="142"/>
      <c r="DJ166" s="142"/>
    </row>
    <row r="167" spans="1:114" s="137" customFormat="1" x14ac:dyDescent="0.2">
      <c r="A167" s="7"/>
      <c r="B167" s="137">
        <f t="shared" ref="B167" si="103">B166+1</f>
        <v>2</v>
      </c>
      <c r="C167" s="137">
        <v>132</v>
      </c>
      <c r="F167" s="7"/>
      <c r="G167" s="7"/>
      <c r="H167" s="7"/>
      <c r="I167" s="7"/>
      <c r="CT167" s="23"/>
      <c r="CU167" s="23"/>
      <c r="CV167" s="23"/>
      <c r="CW167" s="23"/>
      <c r="CX167" s="23"/>
      <c r="CY167" s="23"/>
      <c r="CZ167" s="23"/>
      <c r="DA167" s="23"/>
      <c r="DB167" s="23"/>
      <c r="DD167" s="142"/>
      <c r="DF167" s="142"/>
      <c r="DH167" s="142"/>
      <c r="DJ167" s="142"/>
    </row>
    <row r="168" spans="1:114" s="137" customFormat="1" x14ac:dyDescent="0.2">
      <c r="A168" s="7"/>
      <c r="B168" s="137">
        <v>3</v>
      </c>
      <c r="C168" s="137">
        <v>71</v>
      </c>
      <c r="F168" s="7"/>
      <c r="G168" s="7"/>
      <c r="H168" s="7"/>
      <c r="I168" s="7"/>
      <c r="CT168" s="23"/>
      <c r="CU168" s="23"/>
      <c r="CV168" s="23"/>
      <c r="CW168" s="23"/>
      <c r="CX168" s="23"/>
      <c r="CY168" s="23"/>
      <c r="CZ168" s="23"/>
      <c r="DA168" s="23"/>
      <c r="DB168" s="23"/>
      <c r="DD168" s="142"/>
      <c r="DF168" s="142"/>
      <c r="DH168" s="142"/>
      <c r="DJ168" s="142"/>
    </row>
    <row r="169" spans="1:114" s="137" customFormat="1" x14ac:dyDescent="0.2">
      <c r="A169" s="7"/>
      <c r="B169" s="137">
        <v>4</v>
      </c>
      <c r="C169" s="137">
        <v>76</v>
      </c>
      <c r="F169" s="7"/>
      <c r="G169" s="7"/>
      <c r="H169" s="7"/>
      <c r="I169" s="7"/>
      <c r="CT169" s="23"/>
      <c r="CU169" s="23"/>
      <c r="CV169" s="23"/>
      <c r="CW169" s="23"/>
      <c r="CX169" s="23"/>
      <c r="CY169" s="23"/>
      <c r="CZ169" s="23"/>
      <c r="DA169" s="23"/>
      <c r="DB169" s="23"/>
      <c r="DD169" s="142"/>
      <c r="DF169" s="142"/>
      <c r="DH169" s="142"/>
      <c r="DJ169" s="142"/>
    </row>
    <row r="170" spans="1:114" s="137" customFormat="1" x14ac:dyDescent="0.2">
      <c r="A170" s="7"/>
      <c r="B170" s="137">
        <v>5</v>
      </c>
      <c r="C170" s="137">
        <f>8417-8246</f>
        <v>171</v>
      </c>
      <c r="F170" s="7"/>
      <c r="G170" s="7"/>
      <c r="H170" s="7"/>
      <c r="I170" s="7"/>
      <c r="CT170" s="23"/>
      <c r="CU170" s="23"/>
      <c r="CV170" s="23"/>
      <c r="CW170" s="23"/>
      <c r="CX170" s="23"/>
      <c r="CY170" s="23"/>
      <c r="CZ170" s="23"/>
      <c r="DA170" s="23"/>
      <c r="DB170" s="23"/>
      <c r="DD170" s="142"/>
      <c r="DF170" s="142"/>
      <c r="DH170" s="142"/>
      <c r="DJ170" s="142"/>
    </row>
    <row r="171" spans="1:114" s="137" customFormat="1" x14ac:dyDescent="0.2">
      <c r="A171" s="7"/>
      <c r="B171" s="137">
        <v>6</v>
      </c>
      <c r="C171" s="137">
        <f>6916-6721</f>
        <v>195</v>
      </c>
      <c r="F171" s="7"/>
      <c r="G171" s="7"/>
      <c r="H171" s="7"/>
      <c r="I171" s="7"/>
      <c r="CT171" s="23"/>
      <c r="CU171" s="23"/>
      <c r="CV171" s="23"/>
      <c r="CW171" s="23"/>
      <c r="CX171" s="23"/>
      <c r="CY171" s="23"/>
      <c r="CZ171" s="23"/>
      <c r="DA171" s="23"/>
      <c r="DB171" s="23"/>
      <c r="DD171" s="142"/>
      <c r="DF171" s="142"/>
      <c r="DH171" s="142"/>
      <c r="DJ171" s="142"/>
    </row>
    <row r="172" spans="1:114" s="137" customFormat="1" x14ac:dyDescent="0.2">
      <c r="A172" s="7"/>
      <c r="B172" s="137">
        <v>7</v>
      </c>
      <c r="C172" s="137">
        <f>7644-7215</f>
        <v>429</v>
      </c>
      <c r="F172" s="7"/>
      <c r="G172" s="7"/>
      <c r="H172" s="7"/>
      <c r="I172" s="7"/>
      <c r="CT172" s="23"/>
      <c r="CU172" s="23"/>
      <c r="CV172" s="23"/>
      <c r="CW172" s="23"/>
      <c r="CX172" s="23"/>
      <c r="CY172" s="23"/>
      <c r="CZ172" s="23"/>
      <c r="DA172" s="23"/>
      <c r="DB172" s="23"/>
      <c r="DD172" s="142"/>
      <c r="DF172" s="142"/>
      <c r="DH172" s="142"/>
      <c r="DJ172" s="142"/>
    </row>
    <row r="173" spans="1:114" s="137" customFormat="1" x14ac:dyDescent="0.2">
      <c r="A173" s="7"/>
      <c r="B173" s="137">
        <v>8</v>
      </c>
      <c r="C173" s="137">
        <f>6111-4366</f>
        <v>1745</v>
      </c>
      <c r="F173" s="7"/>
      <c r="G173" s="7"/>
      <c r="H173" s="7"/>
      <c r="I173" s="7"/>
      <c r="CT173" s="23"/>
      <c r="CU173" s="23"/>
      <c r="CV173" s="23"/>
      <c r="CW173" s="23"/>
      <c r="CX173" s="23"/>
      <c r="CY173" s="23"/>
      <c r="CZ173" s="23"/>
      <c r="DA173" s="23"/>
      <c r="DB173" s="23"/>
      <c r="DD173" s="142"/>
      <c r="DF173" s="142"/>
      <c r="DH173" s="142"/>
      <c r="DJ173" s="142"/>
    </row>
    <row r="174" spans="1:114" s="137" customFormat="1" x14ac:dyDescent="0.2">
      <c r="A174" s="7"/>
      <c r="B174" s="137">
        <v>9</v>
      </c>
      <c r="C174" s="137">
        <f>4371-811</f>
        <v>3560</v>
      </c>
      <c r="F174" s="7"/>
      <c r="G174" s="7"/>
      <c r="H174" s="7"/>
      <c r="I174" s="7"/>
      <c r="CT174" s="23"/>
      <c r="CU174" s="23"/>
      <c r="CV174" s="23"/>
      <c r="CW174" s="23"/>
      <c r="CX174" s="23"/>
      <c r="CY174" s="23"/>
      <c r="CZ174" s="23"/>
      <c r="DA174" s="23"/>
      <c r="DB174" s="23"/>
      <c r="DD174" s="142"/>
      <c r="DF174" s="142"/>
      <c r="DH174" s="142"/>
      <c r="DJ174" s="142"/>
    </row>
    <row r="175" spans="1:114" s="137" customFormat="1" x14ac:dyDescent="0.2">
      <c r="A175" s="7"/>
      <c r="F175" s="7"/>
      <c r="G175" s="7"/>
      <c r="H175" s="7"/>
      <c r="I175" s="7"/>
      <c r="CT175" s="23"/>
      <c r="CU175" s="23"/>
      <c r="CV175" s="23"/>
      <c r="CW175" s="23"/>
      <c r="CX175" s="23"/>
      <c r="CY175" s="23"/>
      <c r="CZ175" s="23"/>
      <c r="DA175" s="23"/>
      <c r="DB175" s="23"/>
      <c r="DD175" s="142"/>
      <c r="DF175" s="142"/>
      <c r="DH175" s="142"/>
      <c r="DJ175" s="142"/>
    </row>
    <row r="176" spans="1:114" s="137" customFormat="1" x14ac:dyDescent="0.2">
      <c r="A176" s="7"/>
      <c r="B176" s="7"/>
      <c r="C176" s="7"/>
      <c r="D176" s="7"/>
      <c r="E176" s="7"/>
      <c r="F176" s="7"/>
      <c r="G176" s="7"/>
      <c r="H176" s="7"/>
      <c r="I176" s="7"/>
      <c r="CT176" s="23"/>
      <c r="CU176" s="23"/>
      <c r="CV176" s="23"/>
      <c r="CW176" s="23"/>
      <c r="CX176" s="23"/>
      <c r="CY176" s="23"/>
      <c r="CZ176" s="23"/>
      <c r="DA176" s="23"/>
      <c r="DB176" s="23"/>
      <c r="DD176" s="142"/>
      <c r="DF176" s="142"/>
      <c r="DH176" s="142"/>
      <c r="DJ176" s="142"/>
    </row>
    <row r="177" spans="1:135" s="137" customFormat="1" x14ac:dyDescent="0.2">
      <c r="A177" s="7"/>
      <c r="B177" s="7"/>
      <c r="C177" s="7"/>
      <c r="D177" s="7"/>
      <c r="E177" s="7"/>
      <c r="F177" s="7"/>
      <c r="G177" s="7"/>
      <c r="H177" s="7"/>
      <c r="I177" s="7"/>
      <c r="CT177" s="23"/>
      <c r="CU177" s="23"/>
      <c r="CV177" s="23"/>
      <c r="CW177" s="23"/>
      <c r="CX177" s="23"/>
      <c r="CY177" s="23"/>
      <c r="CZ177" s="23"/>
      <c r="DA177" s="23"/>
      <c r="DB177" s="23"/>
      <c r="DD177" s="142"/>
      <c r="DF177" s="142"/>
      <c r="DH177" s="142"/>
      <c r="DJ177" s="142"/>
    </row>
    <row r="178" spans="1:135" s="137" customFormat="1" x14ac:dyDescent="0.2">
      <c r="A178" s="7"/>
      <c r="B178" s="7"/>
      <c r="C178" s="7"/>
      <c r="D178" s="7"/>
      <c r="E178" s="7"/>
      <c r="F178" s="7"/>
      <c r="G178" s="7"/>
      <c r="H178" s="7"/>
      <c r="I178" s="7"/>
      <c r="CT178" s="23"/>
      <c r="CU178" s="23"/>
      <c r="CV178" s="23"/>
      <c r="CW178" s="23"/>
      <c r="CX178" s="23"/>
      <c r="CY178" s="23"/>
      <c r="CZ178" s="23"/>
      <c r="DA178" s="23"/>
      <c r="DB178" s="23"/>
      <c r="DD178" s="142"/>
      <c r="DF178" s="142"/>
      <c r="DH178" s="142"/>
      <c r="DJ178" s="142"/>
    </row>
    <row r="179" spans="1:135" s="137" customFormat="1" x14ac:dyDescent="0.2">
      <c r="A179" s="7"/>
      <c r="B179" s="7"/>
      <c r="C179" s="7"/>
      <c r="D179" s="7"/>
      <c r="E179" s="7"/>
      <c r="F179" s="7"/>
      <c r="G179" s="7"/>
      <c r="H179" s="7"/>
      <c r="I179" s="7"/>
      <c r="CT179" s="23"/>
      <c r="CU179" s="23"/>
      <c r="CV179" s="23"/>
      <c r="CW179" s="23"/>
      <c r="CX179" s="23"/>
      <c r="CY179" s="23"/>
      <c r="CZ179" s="23"/>
      <c r="DA179" s="23"/>
      <c r="DB179" s="23"/>
      <c r="DD179" s="142"/>
      <c r="DF179" s="142"/>
      <c r="DH179" s="142"/>
      <c r="DJ179" s="142"/>
    </row>
    <row r="180" spans="1:135" s="137" customFormat="1" x14ac:dyDescent="0.2">
      <c r="A180" s="7"/>
      <c r="B180" s="7"/>
      <c r="C180" s="7"/>
      <c r="D180" s="7"/>
      <c r="E180" s="7"/>
      <c r="F180" s="7"/>
      <c r="G180" s="7"/>
      <c r="H180" s="7"/>
      <c r="I180" s="7"/>
      <c r="CT180" s="23"/>
      <c r="CU180" s="23"/>
      <c r="CV180" s="23"/>
      <c r="CW180" s="23"/>
      <c r="CX180" s="23"/>
      <c r="CY180" s="23"/>
      <c r="CZ180" s="23"/>
      <c r="DA180" s="23"/>
      <c r="DB180" s="23"/>
      <c r="DD180" s="142"/>
      <c r="DF180" s="142"/>
      <c r="DH180" s="142"/>
      <c r="DJ180" s="142"/>
    </row>
    <row r="181" spans="1:135" s="137" customFormat="1" x14ac:dyDescent="0.2">
      <c r="A181" s="7"/>
      <c r="B181" s="7"/>
      <c r="C181" s="7"/>
      <c r="D181" s="7"/>
      <c r="E181" s="7"/>
      <c r="F181" s="7"/>
      <c r="G181" s="7"/>
      <c r="H181" s="7"/>
      <c r="I181" s="7"/>
      <c r="CT181" s="23"/>
      <c r="CU181" s="23"/>
      <c r="CV181" s="23"/>
      <c r="CW181" s="23"/>
      <c r="CX181" s="23"/>
      <c r="CY181" s="23"/>
      <c r="CZ181" s="23"/>
      <c r="DA181" s="23"/>
      <c r="DB181" s="23"/>
      <c r="DD181" s="142"/>
      <c r="DF181" s="142"/>
      <c r="DH181" s="142"/>
      <c r="DJ181" s="142"/>
    </row>
    <row r="182" spans="1:13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43"/>
      <c r="Q182" s="7"/>
      <c r="R182" s="7"/>
      <c r="S182" s="7"/>
      <c r="T182" s="7"/>
      <c r="U182" s="7"/>
      <c r="V182" s="144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U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43"/>
      <c r="CZ182" s="43"/>
      <c r="DA182" s="43"/>
      <c r="DB182" s="43"/>
      <c r="DC182" s="43"/>
      <c r="DD182" s="43"/>
      <c r="DE182" s="43"/>
      <c r="DF182" s="43"/>
      <c r="DG182" s="43"/>
      <c r="DH182" s="7"/>
      <c r="DI182" s="145"/>
      <c r="DJ182" s="7"/>
      <c r="DK182" s="145"/>
      <c r="DL182" s="7"/>
      <c r="DM182" s="145"/>
      <c r="DN182" s="7"/>
      <c r="DO182" s="145"/>
      <c r="DP182" s="7"/>
      <c r="DQ182" s="1"/>
      <c r="DR182" s="1"/>
      <c r="DS182" s="1"/>
      <c r="DT182" s="1"/>
      <c r="DU182" s="1"/>
      <c r="DV182" s="1"/>
      <c r="DW182" s="1"/>
      <c r="DY182" s="1"/>
      <c r="EA182" s="1"/>
      <c r="EC182" s="1"/>
      <c r="EE182" s="1"/>
    </row>
    <row r="183" spans="1:135" s="149" customFormat="1" x14ac:dyDescent="0.2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6"/>
      <c r="CR183" s="148"/>
      <c r="CS183" s="146"/>
      <c r="CT183" s="148"/>
      <c r="CU183" s="146"/>
      <c r="CV183" s="148"/>
      <c r="CW183" s="146"/>
      <c r="CX183" s="148"/>
      <c r="CY183" s="146"/>
    </row>
    <row r="184" spans="1:135" s="149" customFormat="1" x14ac:dyDescent="0.2">
      <c r="A184" s="146"/>
      <c r="B184" s="150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6"/>
      <c r="CP184" s="148"/>
      <c r="CQ184" s="146"/>
      <c r="CR184" s="148"/>
      <c r="CS184" s="146"/>
      <c r="CT184" s="148"/>
      <c r="CU184" s="146"/>
      <c r="CV184" s="148"/>
      <c r="CW184" s="146"/>
    </row>
    <row r="185" spans="1:135" s="149" customFormat="1" x14ac:dyDescent="0.2">
      <c r="A185" s="146"/>
      <c r="B185" s="150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6"/>
      <c r="CP185" s="148"/>
      <c r="CQ185" s="146"/>
      <c r="CR185" s="148"/>
      <c r="CS185" s="146"/>
      <c r="CT185" s="148"/>
      <c r="CU185" s="146"/>
      <c r="CV185" s="148"/>
      <c r="CW185" s="146"/>
    </row>
    <row r="186" spans="1:135" s="149" customFormat="1" x14ac:dyDescent="0.2">
      <c r="A186" s="146"/>
      <c r="B186" s="150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6"/>
      <c r="CP186" s="148"/>
      <c r="CQ186" s="146"/>
      <c r="CR186" s="148"/>
      <c r="CS186" s="146"/>
      <c r="CT186" s="148"/>
      <c r="CU186" s="146"/>
      <c r="CV186" s="148"/>
      <c r="CW186" s="146"/>
    </row>
    <row r="187" spans="1:135" s="149" customFormat="1" x14ac:dyDescent="0.2">
      <c r="A187" s="146"/>
      <c r="B187" s="150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6"/>
      <c r="CP187" s="148"/>
      <c r="CQ187" s="146"/>
      <c r="CR187" s="148"/>
      <c r="CS187" s="146"/>
      <c r="CT187" s="148"/>
      <c r="CU187" s="146"/>
      <c r="CV187" s="148"/>
      <c r="CW187" s="146"/>
    </row>
    <row r="188" spans="1:135" s="149" customFormat="1" x14ac:dyDescent="0.2">
      <c r="A188" s="146"/>
      <c r="B188" s="150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6"/>
      <c r="CT188" s="148"/>
      <c r="CU188" s="146"/>
      <c r="CV188" s="148"/>
      <c r="CW188" s="146"/>
      <c r="CX188" s="148"/>
      <c r="CY188" s="146"/>
      <c r="CZ188" s="148"/>
      <c r="DA188" s="146"/>
    </row>
    <row r="189" spans="1:13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U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43"/>
      <c r="CK189" s="43"/>
      <c r="CL189" s="43"/>
      <c r="CM189" s="43"/>
      <c r="CN189" s="43"/>
      <c r="CO189" s="43"/>
      <c r="CP189" s="43"/>
      <c r="CQ189" s="43"/>
      <c r="CR189" s="43"/>
      <c r="CS189" s="7"/>
      <c r="CT189" s="145"/>
      <c r="CU189" s="7"/>
      <c r="CV189" s="145"/>
      <c r="CW189" s="7"/>
      <c r="CX189" s="145"/>
      <c r="CY189" s="7"/>
      <c r="CZ189" s="145"/>
      <c r="DA189" s="7"/>
      <c r="DO189" s="1"/>
      <c r="DP189" s="1"/>
      <c r="DQ189" s="1"/>
      <c r="DR189" s="1"/>
      <c r="DS189" s="1"/>
      <c r="DT189" s="1"/>
      <c r="DU189" s="1"/>
      <c r="DV189" s="1"/>
      <c r="DW189" s="1"/>
      <c r="DY189" s="1"/>
      <c r="EA189" s="1"/>
      <c r="EC189" s="1"/>
      <c r="EE189" s="1"/>
    </row>
    <row r="190" spans="1:13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U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43"/>
      <c r="CK190" s="43"/>
      <c r="CL190" s="43"/>
      <c r="CM190" s="43"/>
      <c r="CN190" s="43"/>
      <c r="CO190" s="43"/>
      <c r="CP190" s="43"/>
      <c r="CQ190" s="43"/>
      <c r="CR190" s="43"/>
      <c r="CS190" s="7"/>
      <c r="CT190" s="145"/>
      <c r="CU190" s="7"/>
      <c r="CV190" s="145"/>
      <c r="CW190" s="7"/>
      <c r="CX190" s="145"/>
      <c r="CY190" s="7"/>
      <c r="CZ190" s="145"/>
      <c r="DA190" s="7"/>
      <c r="DO190" s="1"/>
      <c r="DP190" s="1"/>
      <c r="DQ190" s="1"/>
      <c r="DR190" s="1"/>
      <c r="DS190" s="1"/>
      <c r="DT190" s="1"/>
      <c r="DU190" s="1"/>
      <c r="DV190" s="1"/>
      <c r="DW190" s="1"/>
      <c r="DY190" s="1"/>
      <c r="EA190" s="1"/>
      <c r="EC190" s="1"/>
      <c r="EE190" s="1"/>
    </row>
    <row r="191" spans="1:13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U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43"/>
      <c r="DB191" s="43"/>
      <c r="DC191" s="43"/>
      <c r="DD191" s="43"/>
      <c r="DE191" s="43"/>
      <c r="DF191" s="43"/>
      <c r="DG191" s="43"/>
      <c r="DH191" s="43"/>
      <c r="DI191" s="43"/>
      <c r="DJ191" s="7"/>
      <c r="DK191" s="145"/>
      <c r="DL191" s="7"/>
      <c r="DM191" s="145"/>
      <c r="DN191" s="7"/>
      <c r="DO191" s="145"/>
      <c r="DP191" s="7"/>
      <c r="DQ191" s="145"/>
      <c r="DR191" s="7"/>
      <c r="DS191" s="1"/>
      <c r="DT191" s="1"/>
      <c r="DU191" s="1"/>
      <c r="DV191" s="1"/>
      <c r="DW191" s="1"/>
      <c r="DY191" s="1"/>
      <c r="EA191" s="1"/>
      <c r="EC191" s="1"/>
      <c r="EE191" s="1"/>
    </row>
    <row r="192" spans="1:135" x14ac:dyDescent="0.2">
      <c r="A192" s="13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U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43"/>
      <c r="DB192" s="43"/>
      <c r="DC192" s="43"/>
      <c r="DD192" s="43"/>
      <c r="DE192" s="43"/>
      <c r="DF192" s="43"/>
      <c r="DG192" s="43"/>
      <c r="DH192" s="43"/>
      <c r="DI192" s="43"/>
      <c r="DJ192" s="7"/>
      <c r="DK192" s="145"/>
      <c r="DL192" s="7"/>
      <c r="DM192" s="145"/>
      <c r="DN192" s="7"/>
      <c r="DO192" s="145"/>
      <c r="DP192" s="7"/>
      <c r="DQ192" s="145"/>
      <c r="DR192" s="7"/>
      <c r="DS192" s="1"/>
      <c r="DT192" s="1"/>
      <c r="DU192" s="1"/>
      <c r="DV192" s="1"/>
      <c r="DW192" s="1"/>
      <c r="DY192" s="1"/>
      <c r="EA192" s="1"/>
      <c r="EC192" s="1"/>
      <c r="EE192" s="1"/>
    </row>
    <row r="193" spans="1:136" x14ac:dyDescent="0.2">
      <c r="A193" s="13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U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43"/>
      <c r="DK193" s="43"/>
      <c r="DL193" s="43"/>
      <c r="DM193" s="43"/>
      <c r="DN193" s="43"/>
      <c r="DO193" s="43"/>
      <c r="DP193" s="43"/>
      <c r="DQ193" s="43"/>
      <c r="DR193" s="43"/>
      <c r="DS193" s="7"/>
      <c r="DT193" s="145"/>
      <c r="DU193" s="7"/>
      <c r="DV193" s="145"/>
      <c r="DW193" s="7"/>
      <c r="DX193" s="145"/>
      <c r="DY193" s="7"/>
      <c r="DZ193" s="145"/>
      <c r="EA193" s="7"/>
      <c r="EC193" s="1"/>
      <c r="EE193" s="1"/>
    </row>
    <row r="194" spans="1:13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U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43"/>
      <c r="DK194" s="43"/>
      <c r="DL194" s="43"/>
      <c r="DM194" s="43"/>
      <c r="DN194" s="43"/>
      <c r="DO194" s="43"/>
      <c r="DP194" s="43"/>
      <c r="DQ194" s="43"/>
      <c r="DR194" s="43"/>
      <c r="DS194" s="7"/>
      <c r="DT194" s="145"/>
      <c r="DU194" s="7"/>
      <c r="DV194" s="145"/>
      <c r="DW194" s="7"/>
      <c r="DX194" s="145"/>
      <c r="DY194" s="7"/>
      <c r="DZ194" s="145"/>
      <c r="EA194" s="7"/>
      <c r="EC194" s="1"/>
      <c r="EE194" s="1"/>
    </row>
    <row r="195" spans="1:13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U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43"/>
      <c r="DK195" s="43"/>
      <c r="DL195" s="43"/>
      <c r="DM195" s="43"/>
      <c r="DN195" s="43"/>
      <c r="DO195" s="43"/>
      <c r="DP195" s="43"/>
      <c r="DQ195" s="43"/>
      <c r="DR195" s="43"/>
      <c r="DS195" s="7"/>
      <c r="DT195" s="145"/>
      <c r="DU195" s="7"/>
      <c r="DV195" s="145"/>
      <c r="DW195" s="7"/>
      <c r="DX195" s="145"/>
      <c r="DY195" s="7"/>
      <c r="DZ195" s="145"/>
      <c r="EA195" s="7"/>
      <c r="EC195" s="1"/>
      <c r="EE195" s="1"/>
    </row>
    <row r="196" spans="1:13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U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43"/>
      <c r="DK196" s="43"/>
      <c r="DL196" s="43"/>
      <c r="DM196" s="43"/>
      <c r="DN196" s="43"/>
      <c r="DO196" s="43"/>
      <c r="DP196" s="43"/>
      <c r="DQ196" s="43"/>
      <c r="DR196" s="43"/>
      <c r="DS196" s="7"/>
      <c r="DT196" s="145"/>
      <c r="DU196" s="7"/>
      <c r="DV196" s="145"/>
      <c r="DW196" s="7"/>
      <c r="DX196" s="145"/>
      <c r="DY196" s="7"/>
      <c r="DZ196" s="145"/>
      <c r="EA196" s="7"/>
      <c r="EC196" s="1"/>
      <c r="EE196" s="1"/>
    </row>
    <row r="197" spans="1:13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U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43"/>
      <c r="DK197" s="43"/>
      <c r="DL197" s="43"/>
      <c r="DM197" s="43"/>
      <c r="DN197" s="43"/>
      <c r="DO197" s="43"/>
      <c r="DP197" s="43"/>
      <c r="DQ197" s="43"/>
      <c r="DR197" s="43"/>
      <c r="DS197" s="7"/>
      <c r="DT197" s="145"/>
      <c r="DU197" s="7"/>
      <c r="DV197" s="145"/>
      <c r="DW197" s="7"/>
      <c r="DX197" s="145"/>
      <c r="DY197" s="7"/>
      <c r="DZ197" s="145"/>
      <c r="EA197" s="7"/>
      <c r="EC197" s="1"/>
      <c r="EE197" s="1"/>
    </row>
    <row r="198" spans="1:13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U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43"/>
      <c r="DK198" s="43"/>
      <c r="DL198" s="43"/>
      <c r="DM198" s="43"/>
      <c r="DN198" s="43"/>
      <c r="DO198" s="43"/>
      <c r="DP198" s="43"/>
      <c r="DQ198" s="43"/>
      <c r="DR198" s="43"/>
      <c r="DS198" s="7"/>
      <c r="DT198" s="145"/>
      <c r="DU198" s="7"/>
      <c r="DV198" s="145"/>
      <c r="DW198" s="7"/>
      <c r="DX198" s="145"/>
      <c r="DY198" s="7"/>
      <c r="DZ198" s="145"/>
      <c r="EA198" s="7"/>
      <c r="EC198" s="1"/>
      <c r="EE198" s="1"/>
    </row>
    <row r="199" spans="1:13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38"/>
      <c r="R199" s="138"/>
      <c r="S199" s="138"/>
      <c r="T199" s="138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U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43"/>
      <c r="DP199" s="43"/>
      <c r="DQ199" s="43"/>
      <c r="DR199" s="43"/>
      <c r="DS199" s="43"/>
      <c r="DT199" s="43"/>
      <c r="DU199" s="43"/>
      <c r="DV199" s="43"/>
      <c r="DW199" s="43"/>
      <c r="DX199" s="7"/>
      <c r="DY199" s="145"/>
      <c r="DZ199" s="7"/>
      <c r="EA199" s="145"/>
      <c r="EB199" s="7"/>
      <c r="EC199" s="145"/>
      <c r="ED199" s="7"/>
      <c r="EE199" s="145"/>
      <c r="EF199" s="7"/>
    </row>
    <row r="200" spans="1:13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38"/>
      <c r="R200" s="138"/>
      <c r="S200" s="138"/>
      <c r="T200" s="138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U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43"/>
      <c r="DP200" s="43"/>
      <c r="DQ200" s="43"/>
      <c r="DR200" s="43"/>
      <c r="DS200" s="43"/>
      <c r="DT200" s="43"/>
      <c r="DU200" s="43"/>
      <c r="DV200" s="43"/>
      <c r="DW200" s="43"/>
      <c r="DX200" s="7"/>
      <c r="DY200" s="145"/>
      <c r="DZ200" s="7"/>
      <c r="EA200" s="145"/>
      <c r="EB200" s="7"/>
      <c r="EC200" s="145"/>
      <c r="ED200" s="7"/>
      <c r="EE200" s="145"/>
      <c r="EF200" s="7"/>
    </row>
    <row r="201" spans="1:13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38"/>
      <c r="R201" s="138"/>
      <c r="S201" s="138"/>
      <c r="T201" s="138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151"/>
      <c r="AK201" s="151"/>
      <c r="AL201" s="151"/>
      <c r="AM201" s="151"/>
      <c r="AN201" s="151"/>
      <c r="AO201" s="151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U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43"/>
      <c r="DP201" s="43"/>
      <c r="DQ201" s="43"/>
      <c r="DR201" s="43"/>
      <c r="DS201" s="43"/>
      <c r="DT201" s="43"/>
      <c r="DU201" s="43"/>
      <c r="DV201" s="43"/>
      <c r="DW201" s="43"/>
      <c r="DX201" s="7"/>
      <c r="DY201" s="145"/>
      <c r="DZ201" s="7"/>
      <c r="EA201" s="145"/>
      <c r="EB201" s="7"/>
      <c r="EC201" s="145"/>
      <c r="ED201" s="7"/>
      <c r="EE201" s="145"/>
      <c r="EF201" s="7"/>
    </row>
    <row r="202" spans="1:13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3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152"/>
      <c r="AK202" s="152"/>
      <c r="AL202" s="152"/>
      <c r="AM202" s="152"/>
      <c r="AN202" s="152"/>
      <c r="AO202" s="152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U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43"/>
      <c r="DP202" s="43"/>
      <c r="DQ202" s="43"/>
      <c r="DR202" s="43"/>
      <c r="DS202" s="43"/>
      <c r="DT202" s="43"/>
      <c r="DU202" s="43"/>
      <c r="DV202" s="43"/>
      <c r="DW202" s="43"/>
      <c r="DX202" s="7"/>
      <c r="DY202" s="145"/>
      <c r="DZ202" s="7"/>
      <c r="EA202" s="145"/>
      <c r="EB202" s="7"/>
      <c r="EC202" s="145"/>
      <c r="ED202" s="7"/>
      <c r="EE202" s="145"/>
      <c r="EF202" s="7"/>
    </row>
    <row r="203" spans="1:13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3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U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43"/>
      <c r="DP203" s="43"/>
      <c r="DQ203" s="43"/>
      <c r="DR203" s="43"/>
      <c r="DS203" s="43"/>
      <c r="DT203" s="43"/>
      <c r="DU203" s="43"/>
      <c r="DV203" s="43"/>
      <c r="DW203" s="43"/>
      <c r="DX203" s="7"/>
      <c r="DY203" s="145"/>
      <c r="DZ203" s="7"/>
      <c r="EA203" s="145"/>
      <c r="EB203" s="7"/>
      <c r="EC203" s="145"/>
      <c r="ED203" s="7"/>
      <c r="EE203" s="145"/>
      <c r="EF203" s="7"/>
    </row>
    <row r="204" spans="1:13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3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145"/>
      <c r="AK204" s="145"/>
      <c r="AL204" s="145"/>
      <c r="AM204" s="145"/>
      <c r="AN204" s="145"/>
      <c r="AO204" s="145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U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43"/>
      <c r="DP204" s="43"/>
      <c r="DQ204" s="43"/>
      <c r="DR204" s="43"/>
      <c r="DS204" s="43"/>
      <c r="DT204" s="43"/>
      <c r="DU204" s="43"/>
      <c r="DV204" s="43"/>
      <c r="DW204" s="43"/>
      <c r="DX204" s="7"/>
      <c r="DY204" s="145"/>
      <c r="DZ204" s="7"/>
      <c r="EA204" s="145"/>
      <c r="EB204" s="7"/>
      <c r="EC204" s="145"/>
      <c r="ED204" s="7"/>
      <c r="EE204" s="145"/>
      <c r="EF204" s="7"/>
    </row>
    <row r="205" spans="1:13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3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U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43"/>
      <c r="DP205" s="43"/>
      <c r="DQ205" s="43"/>
      <c r="DR205" s="43"/>
      <c r="DS205" s="43"/>
      <c r="DT205" s="43"/>
      <c r="DU205" s="43"/>
      <c r="DV205" s="43"/>
      <c r="DW205" s="43"/>
      <c r="DX205" s="7"/>
      <c r="DY205" s="145"/>
      <c r="DZ205" s="7"/>
      <c r="EA205" s="145"/>
      <c r="EB205" s="7"/>
      <c r="EC205" s="145"/>
      <c r="ED205" s="7"/>
      <c r="EE205" s="145"/>
      <c r="EF205" s="7"/>
    </row>
    <row r="206" spans="1:13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53"/>
      <c r="Q206" s="154"/>
      <c r="R206" s="153"/>
      <c r="S206" s="153"/>
      <c r="T206" s="125"/>
      <c r="U206" s="125"/>
      <c r="V206" s="125"/>
      <c r="W206" s="125"/>
      <c r="X206" s="125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151"/>
      <c r="AK206" s="151"/>
      <c r="AL206" s="151"/>
      <c r="AM206" s="151"/>
      <c r="AN206" s="151"/>
      <c r="AO206" s="151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U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43"/>
      <c r="DP206" s="43"/>
      <c r="DQ206" s="43"/>
      <c r="DR206" s="43"/>
      <c r="DS206" s="43"/>
      <c r="DT206" s="43"/>
      <c r="DU206" s="43"/>
      <c r="DV206" s="43"/>
      <c r="DW206" s="43"/>
      <c r="DX206" s="7"/>
      <c r="DY206" s="145"/>
      <c r="DZ206" s="7"/>
      <c r="EA206" s="145"/>
      <c r="EB206" s="7"/>
      <c r="EC206" s="145"/>
      <c r="ED206" s="7"/>
      <c r="EE206" s="145"/>
      <c r="EF206" s="7"/>
    </row>
    <row r="207" spans="1:13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52"/>
      <c r="Q207" s="155"/>
      <c r="R207" s="134"/>
      <c r="S207" s="134"/>
      <c r="T207" s="134"/>
      <c r="U207" s="134"/>
      <c r="V207" s="134"/>
      <c r="W207" s="134"/>
      <c r="X207" s="134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U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43"/>
      <c r="DP207" s="43"/>
      <c r="DQ207" s="43"/>
      <c r="DR207" s="43"/>
      <c r="DS207" s="43"/>
      <c r="DT207" s="43"/>
      <c r="DU207" s="43"/>
      <c r="DV207" s="43"/>
      <c r="DW207" s="43"/>
      <c r="DX207" s="7"/>
      <c r="DY207" s="145"/>
      <c r="DZ207" s="7"/>
      <c r="EA207" s="145"/>
      <c r="EB207" s="7"/>
      <c r="EC207" s="145"/>
      <c r="ED207" s="7"/>
      <c r="EE207" s="145"/>
      <c r="EF207" s="7"/>
    </row>
    <row r="208" spans="1:13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45"/>
      <c r="Q208" s="142"/>
      <c r="R208" s="145"/>
      <c r="S208" s="145"/>
      <c r="T208" s="145"/>
      <c r="U208" s="145"/>
      <c r="V208" s="145"/>
      <c r="W208" s="145"/>
      <c r="X208" s="145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U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43"/>
      <c r="DP208" s="43"/>
      <c r="DQ208" s="43"/>
      <c r="DR208" s="43"/>
      <c r="DS208" s="43"/>
      <c r="DT208" s="43"/>
      <c r="DU208" s="43"/>
      <c r="DV208" s="43"/>
      <c r="DW208" s="43"/>
      <c r="DX208" s="7"/>
      <c r="DY208" s="145"/>
      <c r="DZ208" s="7"/>
      <c r="EA208" s="145"/>
      <c r="EB208" s="7"/>
      <c r="EC208" s="145"/>
      <c r="ED208" s="7"/>
      <c r="EE208" s="145"/>
      <c r="EF208" s="7"/>
    </row>
    <row r="209" spans="1:13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37"/>
      <c r="R209" s="7"/>
      <c r="S209" s="7"/>
      <c r="T209" s="7"/>
      <c r="U209" s="7"/>
      <c r="V209" s="125"/>
      <c r="W209" s="125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U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43"/>
      <c r="DP209" s="43"/>
      <c r="DQ209" s="43"/>
      <c r="DR209" s="43"/>
      <c r="DS209" s="43"/>
      <c r="DT209" s="43"/>
      <c r="DU209" s="43"/>
      <c r="DV209" s="43"/>
      <c r="DW209" s="43"/>
      <c r="DX209" s="7"/>
      <c r="DY209" s="145"/>
      <c r="DZ209" s="7"/>
      <c r="EA209" s="145"/>
      <c r="EB209" s="7"/>
      <c r="EC209" s="145"/>
      <c r="ED209" s="7"/>
      <c r="EE209" s="145"/>
      <c r="EF209" s="7"/>
    </row>
    <row r="210" spans="1:13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3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U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43"/>
      <c r="DP210" s="43"/>
      <c r="DQ210" s="43"/>
      <c r="DR210" s="43"/>
      <c r="DS210" s="43"/>
      <c r="DT210" s="43"/>
      <c r="DU210" s="43"/>
      <c r="DV210" s="43"/>
      <c r="DW210" s="43"/>
      <c r="DX210" s="7"/>
      <c r="DY210" s="145"/>
      <c r="DZ210" s="7"/>
      <c r="EA210" s="145"/>
      <c r="EB210" s="7"/>
      <c r="EC210" s="145"/>
      <c r="ED210" s="7"/>
      <c r="EE210" s="145"/>
      <c r="EF210" s="7"/>
    </row>
    <row r="211" spans="1:13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3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U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43"/>
      <c r="DP211" s="43"/>
      <c r="DQ211" s="43"/>
      <c r="DR211" s="43"/>
      <c r="DS211" s="43"/>
      <c r="DT211" s="43"/>
      <c r="DU211" s="43"/>
      <c r="DV211" s="43"/>
      <c r="DW211" s="43"/>
      <c r="DX211" s="7"/>
      <c r="DY211" s="145"/>
      <c r="DZ211" s="7"/>
      <c r="EA211" s="145"/>
      <c r="EB211" s="7"/>
      <c r="EC211" s="145"/>
      <c r="ED211" s="7"/>
      <c r="EE211" s="145"/>
      <c r="EF211" s="7"/>
    </row>
    <row r="212" spans="1:13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3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U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43"/>
      <c r="DP212" s="43"/>
      <c r="DQ212" s="43"/>
      <c r="DR212" s="43"/>
      <c r="DS212" s="43"/>
      <c r="DT212" s="43"/>
      <c r="DU212" s="43"/>
      <c r="DV212" s="43"/>
      <c r="DW212" s="43"/>
      <c r="DX212" s="7"/>
      <c r="DY212" s="145"/>
      <c r="DZ212" s="7"/>
      <c r="EA212" s="145"/>
      <c r="EB212" s="7"/>
      <c r="EC212" s="145"/>
      <c r="ED212" s="7"/>
      <c r="EE212" s="145"/>
      <c r="EF212" s="7"/>
    </row>
    <row r="213" spans="1:13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3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U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43"/>
      <c r="DP213" s="43"/>
      <c r="DQ213" s="43"/>
      <c r="DR213" s="43"/>
      <c r="DS213" s="43"/>
      <c r="DT213" s="43"/>
      <c r="DU213" s="43"/>
      <c r="DV213" s="43"/>
      <c r="DW213" s="43"/>
      <c r="DX213" s="7"/>
      <c r="DY213" s="145"/>
      <c r="DZ213" s="7"/>
      <c r="EA213" s="145"/>
      <c r="EB213" s="7"/>
      <c r="EC213" s="145"/>
      <c r="ED213" s="7"/>
      <c r="EE213" s="145"/>
      <c r="EF213" s="7"/>
    </row>
    <row r="214" spans="1:13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3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U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43"/>
      <c r="DP214" s="43"/>
      <c r="DQ214" s="43"/>
      <c r="DR214" s="43"/>
      <c r="DS214" s="43"/>
      <c r="DT214" s="43"/>
      <c r="DU214" s="43"/>
      <c r="DV214" s="43"/>
      <c r="DW214" s="43"/>
      <c r="DX214" s="7"/>
      <c r="DY214" s="145"/>
      <c r="DZ214" s="7"/>
      <c r="EA214" s="145"/>
      <c r="EB214" s="7"/>
      <c r="EC214" s="145"/>
      <c r="ED214" s="7"/>
      <c r="EE214" s="145"/>
      <c r="EF214" s="7"/>
    </row>
    <row r="215" spans="1:13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3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U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43"/>
      <c r="DP215" s="43"/>
      <c r="DQ215" s="43"/>
      <c r="DR215" s="43"/>
      <c r="DS215" s="43"/>
      <c r="DT215" s="43"/>
      <c r="DU215" s="43"/>
      <c r="DV215" s="43"/>
      <c r="DW215" s="43"/>
      <c r="DX215" s="7"/>
      <c r="DY215" s="145"/>
      <c r="DZ215" s="7"/>
      <c r="EA215" s="145"/>
      <c r="EB215" s="7"/>
      <c r="EC215" s="145"/>
      <c r="ED215" s="7"/>
      <c r="EE215" s="145"/>
      <c r="EF215" s="7"/>
    </row>
    <row r="216" spans="1:13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3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U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43"/>
      <c r="DP216" s="43"/>
      <c r="DQ216" s="43"/>
      <c r="DR216" s="43"/>
      <c r="DS216" s="43"/>
      <c r="DT216" s="43"/>
      <c r="DU216" s="43"/>
      <c r="DV216" s="43"/>
      <c r="DW216" s="43"/>
      <c r="DX216" s="7"/>
      <c r="DY216" s="145"/>
      <c r="DZ216" s="7"/>
      <c r="EA216" s="145"/>
      <c r="EB216" s="7"/>
      <c r="EC216" s="145"/>
      <c r="ED216" s="7"/>
      <c r="EE216" s="145"/>
      <c r="EF216" s="7"/>
    </row>
    <row r="217" spans="1:13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3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U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43"/>
      <c r="DP217" s="43"/>
      <c r="DQ217" s="43"/>
      <c r="DR217" s="43"/>
      <c r="DS217" s="43"/>
      <c r="DT217" s="43"/>
      <c r="DU217" s="43"/>
      <c r="DV217" s="43"/>
      <c r="DW217" s="43"/>
      <c r="DX217" s="7"/>
      <c r="DY217" s="145"/>
      <c r="DZ217" s="7"/>
      <c r="EA217" s="145"/>
      <c r="EB217" s="7"/>
      <c r="EC217" s="145"/>
      <c r="ED217" s="7"/>
      <c r="EE217" s="145"/>
      <c r="EF217" s="7"/>
    </row>
    <row r="218" spans="1:13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3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U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43"/>
      <c r="DP218" s="43"/>
      <c r="DQ218" s="43"/>
      <c r="DR218" s="43"/>
      <c r="DS218" s="43"/>
      <c r="DT218" s="43"/>
      <c r="DU218" s="43"/>
      <c r="DV218" s="43"/>
      <c r="DW218" s="43"/>
      <c r="DX218" s="7"/>
      <c r="DY218" s="145"/>
      <c r="DZ218" s="7"/>
      <c r="EA218" s="145"/>
      <c r="EB218" s="7"/>
      <c r="EC218" s="145"/>
      <c r="ED218" s="7"/>
      <c r="EE218" s="145"/>
      <c r="EF218" s="7"/>
    </row>
    <row r="219" spans="1:13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3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U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43"/>
      <c r="DP219" s="43"/>
      <c r="DQ219" s="43"/>
      <c r="DR219" s="43"/>
      <c r="DS219" s="43"/>
      <c r="DT219" s="43"/>
      <c r="DU219" s="43"/>
      <c r="DV219" s="43"/>
      <c r="DW219" s="43"/>
      <c r="DX219" s="7"/>
      <c r="DY219" s="145"/>
      <c r="DZ219" s="7"/>
      <c r="EA219" s="145"/>
      <c r="EB219" s="7"/>
      <c r="EC219" s="145"/>
      <c r="ED219" s="7"/>
      <c r="EE219" s="145"/>
      <c r="EF219" s="7"/>
    </row>
    <row r="220" spans="1:13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3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U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43"/>
      <c r="DP220" s="43"/>
      <c r="DQ220" s="43"/>
      <c r="DR220" s="43"/>
      <c r="DS220" s="43"/>
      <c r="DT220" s="43"/>
      <c r="DU220" s="43"/>
      <c r="DV220" s="43"/>
      <c r="DW220" s="43"/>
      <c r="DX220" s="7"/>
      <c r="DY220" s="145"/>
      <c r="DZ220" s="7"/>
      <c r="EA220" s="145"/>
      <c r="EB220" s="7"/>
      <c r="EC220" s="145"/>
      <c r="ED220" s="7"/>
      <c r="EE220" s="145"/>
      <c r="EF220" s="7"/>
    </row>
    <row r="221" spans="1:13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3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U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43"/>
      <c r="DP221" s="43"/>
      <c r="DQ221" s="43"/>
      <c r="DR221" s="43"/>
      <c r="DS221" s="43"/>
      <c r="DT221" s="43"/>
      <c r="DU221" s="43"/>
      <c r="DV221" s="43"/>
      <c r="DW221" s="43"/>
      <c r="DX221" s="7"/>
      <c r="DY221" s="145"/>
      <c r="DZ221" s="7"/>
      <c r="EA221" s="145"/>
      <c r="EB221" s="7"/>
      <c r="EC221" s="145"/>
      <c r="ED221" s="7"/>
      <c r="EE221" s="145"/>
      <c r="EF221" s="7"/>
    </row>
    <row r="222" spans="1:13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3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U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43"/>
      <c r="DP222" s="43"/>
      <c r="DQ222" s="43"/>
      <c r="DR222" s="43"/>
      <c r="DS222" s="43"/>
      <c r="DT222" s="43"/>
      <c r="DU222" s="43"/>
      <c r="DV222" s="43"/>
      <c r="DW222" s="43"/>
      <c r="DX222" s="7"/>
      <c r="DY222" s="145"/>
      <c r="DZ222" s="7"/>
      <c r="EA222" s="145"/>
      <c r="EB222" s="7"/>
      <c r="EC222" s="145"/>
      <c r="ED222" s="7"/>
      <c r="EE222" s="145"/>
      <c r="EF222" s="7"/>
    </row>
    <row r="223" spans="1:136" x14ac:dyDescent="0.2">
      <c r="A223" s="7"/>
      <c r="B223" s="138"/>
      <c r="C223" s="13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3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U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43"/>
      <c r="DP223" s="43"/>
      <c r="DQ223" s="43"/>
      <c r="DR223" s="43"/>
      <c r="DS223" s="43"/>
      <c r="DT223" s="43"/>
      <c r="DU223" s="43"/>
      <c r="DV223" s="43"/>
      <c r="DW223" s="43"/>
      <c r="DX223" s="7"/>
      <c r="DY223" s="145"/>
      <c r="DZ223" s="7"/>
      <c r="EA223" s="145"/>
      <c r="EB223" s="7"/>
      <c r="EC223" s="145"/>
      <c r="ED223" s="7"/>
      <c r="EE223" s="145"/>
      <c r="EF223" s="7"/>
    </row>
    <row r="224" spans="1:136" x14ac:dyDescent="0.2">
      <c r="A224" s="7"/>
      <c r="B224" s="138"/>
      <c r="C224" s="13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3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U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43"/>
      <c r="DP224" s="43"/>
      <c r="DQ224" s="43"/>
      <c r="DR224" s="43"/>
      <c r="DS224" s="43"/>
      <c r="DT224" s="43"/>
      <c r="DU224" s="43"/>
      <c r="DV224" s="43"/>
      <c r="DW224" s="43"/>
      <c r="DX224" s="7"/>
      <c r="DY224" s="145"/>
      <c r="DZ224" s="7"/>
      <c r="EA224" s="145"/>
      <c r="EB224" s="7"/>
      <c r="EC224" s="145"/>
      <c r="ED224" s="7"/>
      <c r="EE224" s="145"/>
      <c r="EF224" s="7"/>
    </row>
    <row r="225" spans="1:136" x14ac:dyDescent="0.2">
      <c r="A225" s="7"/>
      <c r="B225" s="138"/>
      <c r="C225" s="13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3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U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43"/>
      <c r="DP225" s="43"/>
      <c r="DQ225" s="43"/>
      <c r="DR225" s="43"/>
      <c r="DS225" s="43"/>
      <c r="DT225" s="43"/>
      <c r="DU225" s="43"/>
      <c r="DV225" s="43"/>
      <c r="DW225" s="43"/>
      <c r="DX225" s="7"/>
      <c r="DY225" s="145"/>
      <c r="DZ225" s="7"/>
      <c r="EA225" s="145"/>
      <c r="EB225" s="7"/>
      <c r="EC225" s="145"/>
      <c r="ED225" s="7"/>
      <c r="EE225" s="145"/>
      <c r="EF225" s="7"/>
    </row>
    <row r="226" spans="1:136" x14ac:dyDescent="0.2">
      <c r="A226" s="7"/>
      <c r="B226" s="138"/>
      <c r="C226" s="15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3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U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43"/>
      <c r="DP226" s="43"/>
      <c r="DQ226" s="43"/>
      <c r="DR226" s="43"/>
      <c r="DS226" s="43"/>
      <c r="DT226" s="43"/>
      <c r="DU226" s="43"/>
      <c r="DV226" s="43"/>
      <c r="DW226" s="43"/>
      <c r="DX226" s="7"/>
      <c r="DY226" s="145"/>
      <c r="DZ226" s="7"/>
      <c r="EA226" s="145"/>
      <c r="EB226" s="7"/>
      <c r="EC226" s="145"/>
      <c r="ED226" s="7"/>
      <c r="EE226" s="145"/>
      <c r="EF226" s="7"/>
    </row>
    <row r="227" spans="1:136" x14ac:dyDescent="0.2">
      <c r="A227" s="7"/>
      <c r="B227" s="138"/>
      <c r="C227" s="15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3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U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43"/>
      <c r="DP227" s="43"/>
      <c r="DQ227" s="43"/>
      <c r="DR227" s="43"/>
      <c r="DS227" s="43"/>
      <c r="DT227" s="43"/>
      <c r="DU227" s="43"/>
      <c r="DV227" s="43"/>
      <c r="DW227" s="43"/>
      <c r="DX227" s="7"/>
      <c r="DY227" s="145"/>
      <c r="DZ227" s="7"/>
      <c r="EA227" s="145"/>
      <c r="EB227" s="7"/>
      <c r="EC227" s="145"/>
      <c r="ED227" s="7"/>
      <c r="EE227" s="145"/>
      <c r="EF227" s="7"/>
    </row>
    <row r="228" spans="1:136" x14ac:dyDescent="0.2">
      <c r="A228" s="7"/>
      <c r="B228" s="138"/>
      <c r="C228" s="15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3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U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43"/>
      <c r="DP228" s="43"/>
      <c r="DQ228" s="43"/>
      <c r="DR228" s="43"/>
      <c r="DS228" s="43"/>
      <c r="DT228" s="43"/>
      <c r="DU228" s="43"/>
      <c r="DV228" s="43"/>
      <c r="DW228" s="43"/>
      <c r="DX228" s="7"/>
      <c r="DY228" s="145"/>
      <c r="DZ228" s="7"/>
      <c r="EA228" s="145"/>
      <c r="EB228" s="7"/>
      <c r="EC228" s="145"/>
      <c r="ED228" s="7"/>
      <c r="EE228" s="145"/>
      <c r="EF228" s="7"/>
    </row>
    <row r="229" spans="1:136" x14ac:dyDescent="0.2">
      <c r="A229" s="7"/>
      <c r="B229" s="138"/>
      <c r="C229" s="15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3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U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43"/>
      <c r="DP229" s="43"/>
      <c r="DQ229" s="43"/>
      <c r="DR229" s="43"/>
      <c r="DS229" s="43"/>
      <c r="DT229" s="43"/>
      <c r="DU229" s="43"/>
      <c r="DV229" s="43"/>
      <c r="DW229" s="43"/>
      <c r="DX229" s="7"/>
      <c r="DY229" s="145"/>
      <c r="DZ229" s="7"/>
      <c r="EA229" s="145"/>
      <c r="EB229" s="7"/>
      <c r="EC229" s="145"/>
      <c r="ED229" s="7"/>
      <c r="EE229" s="145"/>
      <c r="EF229" s="7"/>
    </row>
    <row r="230" spans="1:136" x14ac:dyDescent="0.2">
      <c r="A230" s="7"/>
      <c r="B230" s="138"/>
      <c r="C230" s="13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3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U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43"/>
      <c r="DP230" s="43"/>
      <c r="DQ230" s="43"/>
      <c r="DR230" s="43"/>
      <c r="DS230" s="43"/>
      <c r="DT230" s="43"/>
      <c r="DU230" s="43"/>
      <c r="DV230" s="43"/>
      <c r="DW230" s="43"/>
      <c r="DX230" s="7"/>
      <c r="DY230" s="145"/>
      <c r="DZ230" s="7"/>
      <c r="EA230" s="145"/>
      <c r="EB230" s="7"/>
      <c r="EC230" s="145"/>
      <c r="ED230" s="7"/>
      <c r="EE230" s="145"/>
      <c r="EF230" s="7"/>
    </row>
    <row r="231" spans="1:136" x14ac:dyDescent="0.2">
      <c r="B231" s="138"/>
      <c r="C231" s="13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3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U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43"/>
      <c r="DP231" s="43"/>
      <c r="DQ231" s="43"/>
      <c r="DR231" s="43"/>
      <c r="DS231" s="43"/>
      <c r="DT231" s="43"/>
      <c r="DU231" s="43"/>
      <c r="DV231" s="43"/>
      <c r="DW231" s="43"/>
      <c r="DX231" s="7"/>
      <c r="DY231" s="145"/>
      <c r="DZ231" s="7"/>
      <c r="EA231" s="145"/>
      <c r="EB231" s="7"/>
      <c r="EC231" s="145"/>
      <c r="ED231" s="7"/>
      <c r="EE231" s="145"/>
      <c r="EF231" s="7"/>
    </row>
    <row r="232" spans="1:136" x14ac:dyDescent="0.2">
      <c r="B232" s="138"/>
      <c r="C232" s="13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3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U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43"/>
      <c r="DP232" s="43"/>
      <c r="DQ232" s="43"/>
      <c r="DR232" s="43"/>
      <c r="DS232" s="43"/>
      <c r="DT232" s="43"/>
      <c r="DU232" s="43"/>
      <c r="DV232" s="43"/>
      <c r="DW232" s="43"/>
      <c r="DX232" s="7"/>
      <c r="DY232" s="145"/>
      <c r="DZ232" s="7"/>
      <c r="EA232" s="145"/>
      <c r="EB232" s="7"/>
      <c r="EC232" s="145"/>
      <c r="ED232" s="7"/>
      <c r="EE232" s="145"/>
      <c r="EF232" s="7"/>
    </row>
    <row r="233" spans="1:136" x14ac:dyDescent="0.2">
      <c r="B233" s="138"/>
      <c r="C233" s="13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3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U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43"/>
      <c r="DP233" s="43"/>
      <c r="DQ233" s="43"/>
      <c r="DR233" s="43"/>
      <c r="DS233" s="43"/>
      <c r="DT233" s="43"/>
      <c r="DU233" s="43"/>
      <c r="DV233" s="43"/>
      <c r="DW233" s="43"/>
      <c r="DX233" s="7"/>
      <c r="DY233" s="145"/>
      <c r="DZ233" s="7"/>
      <c r="EA233" s="145"/>
      <c r="EB233" s="7"/>
      <c r="EC233" s="145"/>
      <c r="ED233" s="7"/>
      <c r="EE233" s="145"/>
      <c r="EF233" s="7"/>
    </row>
    <row r="234" spans="1:136" x14ac:dyDescent="0.2">
      <c r="B234" s="138"/>
      <c r="C234" s="13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U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43"/>
      <c r="DP234" s="43"/>
      <c r="DQ234" s="43"/>
      <c r="DR234" s="43"/>
      <c r="DS234" s="43"/>
      <c r="DT234" s="43"/>
      <c r="DU234" s="43"/>
      <c r="DV234" s="43"/>
      <c r="DW234" s="43"/>
      <c r="DX234" s="7"/>
      <c r="DY234" s="145"/>
      <c r="DZ234" s="7"/>
      <c r="EA234" s="145"/>
      <c r="EB234" s="7"/>
      <c r="EC234" s="145"/>
      <c r="ED234" s="7"/>
      <c r="EE234" s="145"/>
      <c r="EF234" s="7"/>
    </row>
    <row r="235" spans="1:136" x14ac:dyDescent="0.2">
      <c r="B235" s="138"/>
      <c r="C235" s="13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U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43"/>
      <c r="DP235" s="43"/>
      <c r="DQ235" s="43"/>
      <c r="DR235" s="43"/>
      <c r="DS235" s="43"/>
      <c r="DT235" s="43"/>
      <c r="DU235" s="43"/>
      <c r="DV235" s="43"/>
      <c r="DW235" s="43"/>
      <c r="DX235" s="7"/>
      <c r="DY235" s="145"/>
      <c r="DZ235" s="7"/>
      <c r="EA235" s="145"/>
      <c r="EB235" s="7"/>
      <c r="EC235" s="145"/>
      <c r="ED235" s="7"/>
      <c r="EE235" s="145"/>
      <c r="EF235" s="7"/>
    </row>
    <row r="236" spans="1:136" x14ac:dyDescent="0.2">
      <c r="B236" s="138"/>
      <c r="C236" s="138"/>
      <c r="D236" s="7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U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43"/>
      <c r="DP236" s="43"/>
      <c r="DQ236" s="43"/>
      <c r="DR236" s="43"/>
      <c r="DS236" s="43"/>
      <c r="DT236" s="43"/>
      <c r="DU236" s="43"/>
      <c r="DV236" s="43"/>
      <c r="DW236" s="43"/>
      <c r="DX236" s="7"/>
      <c r="DY236" s="145"/>
      <c r="DZ236" s="7"/>
      <c r="EA236" s="145"/>
      <c r="EB236" s="7"/>
      <c r="EC236" s="145"/>
      <c r="ED236" s="7"/>
      <c r="EE236" s="145"/>
      <c r="EF236" s="7"/>
    </row>
    <row r="237" spans="1:136" x14ac:dyDescent="0.2">
      <c r="B237" s="138"/>
      <c r="C237" s="138"/>
      <c r="D237" s="7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U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43"/>
      <c r="DP237" s="43"/>
      <c r="DQ237" s="43"/>
      <c r="DR237" s="43"/>
      <c r="DS237" s="43"/>
      <c r="DT237" s="43"/>
      <c r="DU237" s="43"/>
      <c r="DV237" s="43"/>
      <c r="DW237" s="43"/>
      <c r="DX237" s="7"/>
      <c r="DY237" s="145"/>
      <c r="DZ237" s="7"/>
      <c r="EA237" s="145"/>
      <c r="EB237" s="7"/>
      <c r="EC237" s="145"/>
      <c r="ED237" s="7"/>
      <c r="EE237" s="145"/>
      <c r="EF237" s="7"/>
    </row>
    <row r="238" spans="1:136" x14ac:dyDescent="0.2">
      <c r="B238" s="138"/>
      <c r="C238" s="138"/>
      <c r="D238" s="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U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43"/>
      <c r="DP238" s="43"/>
      <c r="DQ238" s="43"/>
      <c r="DR238" s="43"/>
      <c r="DS238" s="43"/>
      <c r="DT238" s="43"/>
      <c r="DU238" s="43"/>
      <c r="DV238" s="43"/>
      <c r="DW238" s="43"/>
      <c r="DX238" s="7"/>
      <c r="DY238" s="145"/>
      <c r="DZ238" s="7"/>
      <c r="EA238" s="145"/>
      <c r="EB238" s="7"/>
      <c r="EC238" s="145"/>
      <c r="ED238" s="7"/>
      <c r="EE238" s="145"/>
      <c r="EF238" s="7"/>
    </row>
    <row r="239" spans="1:136" x14ac:dyDescent="0.2">
      <c r="B239" s="138"/>
      <c r="C239" s="138"/>
      <c r="D239" s="7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25"/>
      <c r="Q239" s="125"/>
      <c r="R239" s="125"/>
      <c r="S239" s="125"/>
      <c r="T239" s="12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U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43"/>
      <c r="DP239" s="43"/>
      <c r="DQ239" s="43"/>
      <c r="DR239" s="43"/>
      <c r="DS239" s="43"/>
      <c r="DT239" s="43"/>
      <c r="DU239" s="43"/>
      <c r="DV239" s="43"/>
      <c r="DW239" s="43"/>
      <c r="DX239" s="7"/>
      <c r="DY239" s="145"/>
      <c r="DZ239" s="7"/>
      <c r="EA239" s="145"/>
      <c r="EB239" s="7"/>
      <c r="EC239" s="145"/>
      <c r="ED239" s="7"/>
      <c r="EE239" s="145"/>
      <c r="EF239" s="7"/>
    </row>
    <row r="240" spans="1:136" x14ac:dyDescent="0.2">
      <c r="A240" s="7"/>
      <c r="B240" s="138"/>
      <c r="C240" s="138"/>
      <c r="D240" s="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34"/>
      <c r="Q240" s="134"/>
      <c r="R240" s="134"/>
      <c r="S240" s="134"/>
      <c r="T240" s="134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U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43"/>
      <c r="DP240" s="43"/>
      <c r="DQ240" s="43"/>
      <c r="DR240" s="43"/>
      <c r="DS240" s="43"/>
      <c r="DT240" s="43"/>
      <c r="DU240" s="43"/>
      <c r="DV240" s="43"/>
      <c r="DW240" s="43"/>
      <c r="DX240" s="7"/>
      <c r="DY240" s="145"/>
      <c r="DZ240" s="7"/>
      <c r="EA240" s="145"/>
      <c r="EB240" s="7"/>
      <c r="EC240" s="145"/>
      <c r="ED240" s="7"/>
      <c r="EE240" s="145"/>
      <c r="EF240" s="7"/>
    </row>
    <row r="241" spans="1:136" x14ac:dyDescent="0.2">
      <c r="A241" s="7"/>
      <c r="B241" s="138"/>
      <c r="C241" s="138"/>
      <c r="D241" s="13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45"/>
      <c r="Q241" s="145"/>
      <c r="R241" s="145"/>
      <c r="S241" s="145"/>
      <c r="T241" s="14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U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43"/>
      <c r="DP241" s="43"/>
      <c r="DQ241" s="43"/>
      <c r="DR241" s="43"/>
      <c r="DS241" s="43"/>
      <c r="DT241" s="43"/>
      <c r="DU241" s="43"/>
      <c r="DV241" s="43"/>
      <c r="DW241" s="43"/>
      <c r="DX241" s="7"/>
      <c r="DY241" s="145"/>
      <c r="DZ241" s="7"/>
      <c r="EA241" s="145"/>
      <c r="EB241" s="7"/>
      <c r="EC241" s="145"/>
      <c r="ED241" s="7"/>
      <c r="EE241" s="145"/>
      <c r="EF241" s="7"/>
    </row>
    <row r="242" spans="1:136" x14ac:dyDescent="0.2">
      <c r="A242" s="7"/>
      <c r="B242" s="138"/>
      <c r="C242" s="138"/>
      <c r="D242" s="138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3"/>
      <c r="Q242" s="125"/>
      <c r="R242" s="125"/>
      <c r="S242" s="125"/>
      <c r="T242" s="12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U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43"/>
      <c r="DP242" s="43"/>
      <c r="DQ242" s="43"/>
      <c r="DR242" s="43"/>
      <c r="DS242" s="43"/>
      <c r="DT242" s="43"/>
      <c r="DU242" s="43"/>
      <c r="DV242" s="43"/>
      <c r="DW242" s="43"/>
      <c r="DX242" s="7"/>
      <c r="DY242" s="145"/>
      <c r="DZ242" s="7"/>
      <c r="EA242" s="145"/>
      <c r="EB242" s="7"/>
      <c r="EC242" s="145"/>
      <c r="ED242" s="7"/>
      <c r="EE242" s="145"/>
      <c r="EF242" s="7"/>
    </row>
    <row r="243" spans="1:136" x14ac:dyDescent="0.2"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U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43"/>
      <c r="DP243" s="43"/>
      <c r="DQ243" s="43"/>
      <c r="DR243" s="43"/>
      <c r="DS243" s="43"/>
      <c r="DT243" s="43"/>
      <c r="DU243" s="43"/>
      <c r="DV243" s="43"/>
      <c r="DW243" s="43"/>
      <c r="DX243" s="7"/>
      <c r="DY243" s="145"/>
      <c r="DZ243" s="7"/>
      <c r="EA243" s="145"/>
      <c r="EB243" s="7"/>
      <c r="EC243" s="145"/>
      <c r="ED243" s="7"/>
      <c r="EE243" s="145"/>
      <c r="EF243" s="7"/>
    </row>
    <row r="244" spans="1:136" x14ac:dyDescent="0.2">
      <c r="B244" s="138"/>
      <c r="C244" s="138"/>
      <c r="D244" s="156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151"/>
      <c r="AC244" s="151"/>
      <c r="AD244" s="151"/>
      <c r="AE244" s="151"/>
      <c r="AF244" s="125"/>
      <c r="AG244" s="125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U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43"/>
      <c r="DP244" s="43"/>
      <c r="DQ244" s="43"/>
      <c r="DR244" s="43"/>
      <c r="DS244" s="43"/>
      <c r="DT244" s="43"/>
      <c r="DU244" s="43"/>
      <c r="DV244" s="43"/>
      <c r="DW244" s="43"/>
      <c r="DX244" s="7"/>
      <c r="DY244" s="145"/>
      <c r="DZ244" s="7"/>
      <c r="EA244" s="145"/>
      <c r="EB244" s="7"/>
      <c r="EC244" s="145"/>
      <c r="ED244" s="7"/>
      <c r="EE244" s="145"/>
      <c r="EF244" s="7"/>
    </row>
    <row r="245" spans="1:136" x14ac:dyDescent="0.2">
      <c r="B245" s="138"/>
      <c r="C245" s="138"/>
      <c r="D245" s="157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7"/>
      <c r="Q245" s="137"/>
      <c r="T245" s="7"/>
      <c r="U245" s="7"/>
      <c r="V245" s="7"/>
      <c r="W245" s="7"/>
      <c r="X245" s="7"/>
      <c r="Y245" s="7"/>
      <c r="Z245" s="7"/>
      <c r="AA245" s="7"/>
      <c r="AB245" s="152"/>
      <c r="AC245" s="152"/>
      <c r="AD245" s="152"/>
      <c r="AE245" s="152"/>
      <c r="AF245" s="134"/>
      <c r="AG245" s="134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U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43"/>
      <c r="DP245" s="43"/>
      <c r="DQ245" s="43"/>
      <c r="DR245" s="43"/>
      <c r="DS245" s="43"/>
      <c r="DT245" s="43"/>
      <c r="DU245" s="43"/>
      <c r="DV245" s="43"/>
      <c r="DW245" s="43"/>
      <c r="DX245" s="7"/>
      <c r="DY245" s="145"/>
      <c r="DZ245" s="7"/>
      <c r="EA245" s="145"/>
      <c r="EB245" s="7"/>
      <c r="EC245" s="145"/>
      <c r="ED245" s="7"/>
      <c r="EE245" s="145"/>
      <c r="EF245" s="7"/>
    </row>
    <row r="246" spans="1:136" x14ac:dyDescent="0.2">
      <c r="B246" s="138"/>
      <c r="C246" s="138"/>
      <c r="D246" s="15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7"/>
      <c r="Q246" s="137"/>
      <c r="T246" s="7"/>
      <c r="U246" s="7"/>
      <c r="V246" s="7"/>
      <c r="W246" s="7"/>
      <c r="X246" s="7"/>
      <c r="Y246" s="7"/>
      <c r="Z246" s="7"/>
      <c r="AA246" s="7"/>
      <c r="AB246" s="151"/>
      <c r="AC246" s="151"/>
      <c r="AD246" s="151"/>
      <c r="AE246" s="151"/>
      <c r="AF246" s="125"/>
      <c r="AG246" s="125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U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43"/>
      <c r="DP246" s="43"/>
      <c r="DQ246" s="43"/>
      <c r="DR246" s="43"/>
      <c r="DS246" s="43"/>
      <c r="DT246" s="43"/>
      <c r="DU246" s="43"/>
      <c r="DV246" s="43"/>
      <c r="DW246" s="43"/>
      <c r="DX246" s="7"/>
      <c r="DY246" s="145"/>
      <c r="DZ246" s="7"/>
      <c r="EA246" s="145"/>
      <c r="EB246" s="7"/>
      <c r="EC246" s="145"/>
      <c r="ED246" s="7"/>
      <c r="EE246" s="145"/>
      <c r="EF246" s="7"/>
    </row>
    <row r="247" spans="1:136" x14ac:dyDescent="0.2">
      <c r="B247" s="138"/>
      <c r="C247" s="138"/>
      <c r="D247" s="156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7"/>
      <c r="Q247" s="137"/>
      <c r="T247" s="7"/>
      <c r="U247" s="7"/>
      <c r="V247" s="7"/>
      <c r="W247" s="7"/>
      <c r="X247" s="7"/>
      <c r="Y247" s="7"/>
      <c r="Z247" s="7"/>
      <c r="AA247" s="7"/>
      <c r="AB247" s="145"/>
      <c r="AC247" s="145"/>
      <c r="AD247" s="145"/>
      <c r="AE247" s="145"/>
      <c r="AF247" s="145"/>
      <c r="AG247" s="145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U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43"/>
      <c r="DP247" s="43"/>
      <c r="DQ247" s="43"/>
      <c r="DR247" s="43"/>
      <c r="DS247" s="43"/>
      <c r="DT247" s="43"/>
      <c r="DU247" s="43"/>
      <c r="DV247" s="43"/>
      <c r="DW247" s="43"/>
      <c r="DX247" s="7"/>
      <c r="DY247" s="145"/>
      <c r="DZ247" s="7"/>
      <c r="EA247" s="145"/>
      <c r="EB247" s="7"/>
      <c r="EC247" s="145"/>
      <c r="ED247" s="7"/>
      <c r="EE247" s="145"/>
      <c r="EF247" s="7"/>
    </row>
    <row r="248" spans="1:136" x14ac:dyDescent="0.2"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7"/>
      <c r="Q248" s="13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U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43"/>
      <c r="DP248" s="43"/>
      <c r="DQ248" s="43"/>
      <c r="DR248" s="43"/>
      <c r="DS248" s="43"/>
      <c r="DT248" s="43"/>
      <c r="DU248" s="43"/>
      <c r="DV248" s="43"/>
      <c r="DW248" s="43"/>
      <c r="DX248" s="7"/>
      <c r="DY248" s="145"/>
      <c r="DZ248" s="7"/>
      <c r="EA248" s="145"/>
      <c r="EB248" s="7"/>
      <c r="EC248" s="145"/>
      <c r="ED248" s="7"/>
      <c r="EE248" s="145"/>
      <c r="EF248" s="7"/>
    </row>
    <row r="249" spans="1:136" x14ac:dyDescent="0.2"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7"/>
      <c r="Q249" s="13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U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43"/>
      <c r="DP249" s="43"/>
      <c r="DQ249" s="43"/>
      <c r="DR249" s="43"/>
      <c r="DS249" s="43"/>
      <c r="DT249" s="43"/>
      <c r="DU249" s="43"/>
      <c r="DV249" s="43"/>
      <c r="DW249" s="43"/>
      <c r="DX249" s="7"/>
      <c r="DY249" s="145"/>
      <c r="DZ249" s="7"/>
      <c r="EA249" s="145"/>
      <c r="EB249" s="7"/>
      <c r="EC249" s="145"/>
      <c r="ED249" s="7"/>
      <c r="EE249" s="145"/>
      <c r="EF249" s="7"/>
    </row>
    <row r="250" spans="1:136" x14ac:dyDescent="0.2"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7"/>
      <c r="Q250" s="13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U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43"/>
      <c r="DP250" s="43"/>
      <c r="DQ250" s="43"/>
      <c r="DR250" s="43"/>
      <c r="DS250" s="43"/>
      <c r="DT250" s="43"/>
      <c r="DU250" s="43"/>
      <c r="DV250" s="43"/>
      <c r="DW250" s="43"/>
      <c r="DX250" s="7"/>
      <c r="DY250" s="145"/>
      <c r="DZ250" s="7"/>
      <c r="EA250" s="145"/>
      <c r="EB250" s="7"/>
      <c r="EC250" s="145"/>
      <c r="ED250" s="7"/>
      <c r="EE250" s="145"/>
      <c r="EF250" s="7"/>
    </row>
    <row r="251" spans="1:136" x14ac:dyDescent="0.2"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7"/>
      <c r="Q251" s="13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U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43"/>
      <c r="DP251" s="43"/>
      <c r="DQ251" s="43"/>
      <c r="DR251" s="43"/>
      <c r="DS251" s="43"/>
      <c r="DT251" s="43"/>
      <c r="DU251" s="43"/>
      <c r="DV251" s="43"/>
      <c r="DW251" s="43"/>
      <c r="DX251" s="7"/>
      <c r="DY251" s="145"/>
      <c r="DZ251" s="7"/>
      <c r="EA251" s="145"/>
      <c r="EB251" s="7"/>
      <c r="EC251" s="145"/>
      <c r="ED251" s="7"/>
      <c r="EE251" s="145"/>
      <c r="EF251" s="7"/>
    </row>
    <row r="252" spans="1:136" x14ac:dyDescent="0.2"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7"/>
      <c r="Q252" s="13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U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43"/>
      <c r="DP252" s="43"/>
      <c r="DQ252" s="43"/>
      <c r="DR252" s="43"/>
      <c r="DS252" s="43"/>
      <c r="DT252" s="43"/>
      <c r="DU252" s="43"/>
      <c r="DV252" s="43"/>
      <c r="DW252" s="43"/>
      <c r="DX252" s="7"/>
      <c r="DY252" s="145"/>
      <c r="DZ252" s="7"/>
      <c r="EA252" s="145"/>
      <c r="EB252" s="7"/>
      <c r="EC252" s="145"/>
      <c r="ED252" s="7"/>
      <c r="EE252" s="145"/>
      <c r="EF252" s="7"/>
    </row>
    <row r="253" spans="1:136" x14ac:dyDescent="0.2"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7"/>
      <c r="Q253" s="13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U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43"/>
      <c r="DP253" s="43"/>
      <c r="DQ253" s="43"/>
      <c r="DR253" s="43"/>
      <c r="DS253" s="43"/>
      <c r="DT253" s="43"/>
      <c r="DU253" s="43"/>
      <c r="DV253" s="43"/>
      <c r="DW253" s="43"/>
      <c r="DX253" s="7"/>
      <c r="DY253" s="145"/>
      <c r="DZ253" s="7"/>
      <c r="EA253" s="145"/>
      <c r="EB253" s="7"/>
      <c r="EC253" s="145"/>
      <c r="ED253" s="7"/>
      <c r="EE253" s="145"/>
      <c r="EF253" s="7"/>
    </row>
    <row r="254" spans="1:136" x14ac:dyDescent="0.2"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7"/>
      <c r="Q254" s="13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U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43"/>
      <c r="DP254" s="43"/>
      <c r="DQ254" s="43"/>
      <c r="DR254" s="43"/>
      <c r="DS254" s="43"/>
      <c r="DT254" s="43"/>
      <c r="DU254" s="43"/>
      <c r="DV254" s="43"/>
      <c r="DW254" s="43"/>
      <c r="DX254" s="7"/>
      <c r="DY254" s="145"/>
      <c r="DZ254" s="7"/>
      <c r="EA254" s="145"/>
      <c r="EB254" s="7"/>
      <c r="EC254" s="145"/>
      <c r="ED254" s="7"/>
      <c r="EE254" s="145"/>
      <c r="EF254" s="7"/>
    </row>
    <row r="255" spans="1:136" x14ac:dyDescent="0.2"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7"/>
      <c r="Q255" s="13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U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43"/>
      <c r="DP255" s="43"/>
      <c r="DQ255" s="43"/>
      <c r="DR255" s="43"/>
      <c r="DS255" s="43"/>
      <c r="DT255" s="43"/>
      <c r="DU255" s="43"/>
      <c r="DV255" s="43"/>
      <c r="DW255" s="43"/>
      <c r="DX255" s="7"/>
      <c r="DY255" s="145"/>
      <c r="DZ255" s="7"/>
      <c r="EA255" s="145"/>
      <c r="EB255" s="7"/>
      <c r="EC255" s="145"/>
      <c r="ED255" s="7"/>
      <c r="EE255" s="145"/>
      <c r="EF255" s="7"/>
    </row>
    <row r="256" spans="1:136" x14ac:dyDescent="0.2"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7"/>
      <c r="Q256" s="13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U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43"/>
      <c r="DP256" s="43"/>
      <c r="DQ256" s="43"/>
      <c r="DR256" s="43"/>
      <c r="DS256" s="43"/>
      <c r="DT256" s="43"/>
      <c r="DU256" s="43"/>
      <c r="DV256" s="43"/>
      <c r="DW256" s="43"/>
      <c r="DX256" s="7"/>
      <c r="DY256" s="145"/>
      <c r="DZ256" s="7"/>
      <c r="EA256" s="145"/>
      <c r="EB256" s="7"/>
      <c r="EC256" s="145"/>
      <c r="ED256" s="7"/>
      <c r="EE256" s="145"/>
      <c r="EF256" s="7"/>
    </row>
    <row r="257" spans="2:136" x14ac:dyDescent="0.2"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7"/>
      <c r="Q257" s="13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U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43"/>
      <c r="DP257" s="43"/>
      <c r="DQ257" s="43"/>
      <c r="DR257" s="43"/>
      <c r="DS257" s="43"/>
      <c r="DT257" s="43"/>
      <c r="DU257" s="43"/>
      <c r="DV257" s="43"/>
      <c r="DW257" s="43"/>
      <c r="DX257" s="7"/>
      <c r="DY257" s="145"/>
      <c r="DZ257" s="7"/>
      <c r="EA257" s="145"/>
      <c r="EB257" s="7"/>
      <c r="EC257" s="145"/>
      <c r="ED257" s="7"/>
      <c r="EE257" s="145"/>
      <c r="EF257" s="7"/>
    </row>
    <row r="258" spans="2:136" x14ac:dyDescent="0.2"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7"/>
      <c r="Q258" s="13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U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43"/>
      <c r="DP258" s="43"/>
      <c r="DQ258" s="43"/>
      <c r="DR258" s="43"/>
      <c r="DS258" s="43"/>
      <c r="DT258" s="43"/>
      <c r="DU258" s="43"/>
      <c r="DV258" s="43"/>
      <c r="DW258" s="43"/>
      <c r="DX258" s="7"/>
      <c r="DY258" s="145"/>
      <c r="DZ258" s="7"/>
      <c r="EA258" s="145"/>
      <c r="EB258" s="7"/>
      <c r="EC258" s="145"/>
      <c r="ED258" s="7"/>
      <c r="EE258" s="145"/>
      <c r="EF258" s="7"/>
    </row>
    <row r="259" spans="2:136" x14ac:dyDescent="0.2"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7"/>
      <c r="Q259" s="13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U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43"/>
      <c r="DP259" s="43"/>
      <c r="DQ259" s="43"/>
      <c r="DR259" s="43"/>
      <c r="DS259" s="43"/>
      <c r="DT259" s="43"/>
      <c r="DU259" s="43"/>
      <c r="DV259" s="43"/>
      <c r="DW259" s="43"/>
      <c r="DX259" s="7"/>
      <c r="DY259" s="145"/>
      <c r="DZ259" s="7"/>
      <c r="EA259" s="145"/>
      <c r="EB259" s="7"/>
      <c r="EC259" s="145"/>
      <c r="ED259" s="7"/>
      <c r="EE259" s="145"/>
      <c r="EF259" s="7"/>
    </row>
    <row r="260" spans="2:136" x14ac:dyDescent="0.2"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7"/>
      <c r="Q260" s="13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U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43"/>
      <c r="DP260" s="43"/>
      <c r="DQ260" s="43"/>
      <c r="DR260" s="43"/>
      <c r="DS260" s="43"/>
      <c r="DT260" s="43"/>
      <c r="DU260" s="43"/>
      <c r="DV260" s="43"/>
      <c r="DW260" s="43"/>
      <c r="DX260" s="7"/>
      <c r="DY260" s="145"/>
      <c r="DZ260" s="7"/>
      <c r="EA260" s="145"/>
      <c r="EB260" s="7"/>
      <c r="EC260" s="145"/>
      <c r="ED260" s="7"/>
      <c r="EE260" s="145"/>
      <c r="EF260" s="7"/>
    </row>
    <row r="261" spans="2:136" x14ac:dyDescent="0.2"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7"/>
      <c r="Q261" s="13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U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43"/>
      <c r="DP261" s="43"/>
      <c r="DQ261" s="43"/>
      <c r="DR261" s="43"/>
      <c r="DS261" s="43"/>
      <c r="DT261" s="43"/>
      <c r="DU261" s="43"/>
      <c r="DV261" s="43"/>
      <c r="DW261" s="43"/>
      <c r="DX261" s="7"/>
      <c r="DY261" s="145"/>
      <c r="DZ261" s="7"/>
      <c r="EA261" s="145"/>
      <c r="EB261" s="7"/>
      <c r="EC261" s="145"/>
      <c r="ED261" s="7"/>
      <c r="EE261" s="145"/>
      <c r="EF261" s="7"/>
    </row>
    <row r="262" spans="2:136" x14ac:dyDescent="0.2"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7"/>
      <c r="Q262" s="13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U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43"/>
      <c r="DP262" s="43"/>
      <c r="DQ262" s="43"/>
      <c r="DR262" s="43"/>
      <c r="DS262" s="43"/>
      <c r="DT262" s="43"/>
      <c r="DU262" s="43"/>
      <c r="DV262" s="43"/>
      <c r="DW262" s="43"/>
      <c r="DX262" s="7"/>
      <c r="DY262" s="145"/>
      <c r="DZ262" s="7"/>
      <c r="EA262" s="145"/>
      <c r="EB262" s="7"/>
      <c r="EC262" s="145"/>
      <c r="ED262" s="7"/>
      <c r="EE262" s="145"/>
      <c r="EF262" s="7"/>
    </row>
    <row r="263" spans="2:136" x14ac:dyDescent="0.2"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7"/>
      <c r="Q263" s="13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U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43"/>
      <c r="DP263" s="43"/>
      <c r="DQ263" s="43"/>
      <c r="DR263" s="43"/>
      <c r="DS263" s="43"/>
      <c r="DT263" s="43"/>
      <c r="DU263" s="43"/>
      <c r="DV263" s="43"/>
      <c r="DW263" s="43"/>
      <c r="DX263" s="7"/>
      <c r="DY263" s="145"/>
      <c r="DZ263" s="7"/>
      <c r="EA263" s="145"/>
      <c r="EB263" s="7"/>
      <c r="EC263" s="145"/>
      <c r="ED263" s="7"/>
      <c r="EE263" s="145"/>
      <c r="EF263" s="7"/>
    </row>
    <row r="264" spans="2:136" x14ac:dyDescent="0.2"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7"/>
      <c r="Q264" s="13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U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43"/>
      <c r="DP264" s="43"/>
      <c r="DQ264" s="43"/>
      <c r="DR264" s="43"/>
      <c r="DS264" s="43"/>
      <c r="DT264" s="43"/>
      <c r="DU264" s="43"/>
      <c r="DV264" s="43"/>
      <c r="DW264" s="43"/>
      <c r="DX264" s="7"/>
      <c r="DY264" s="145"/>
      <c r="DZ264" s="7"/>
      <c r="EA264" s="145"/>
      <c r="EB264" s="7"/>
      <c r="EC264" s="145"/>
      <c r="ED264" s="7"/>
      <c r="EE264" s="145"/>
      <c r="EF264" s="7"/>
    </row>
    <row r="265" spans="2:136" x14ac:dyDescent="0.2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7"/>
      <c r="Q265" s="13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U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43"/>
      <c r="DP265" s="43"/>
      <c r="DQ265" s="43"/>
      <c r="DR265" s="43"/>
      <c r="DS265" s="43"/>
      <c r="DT265" s="43"/>
      <c r="DU265" s="43"/>
      <c r="DV265" s="43"/>
      <c r="DW265" s="43"/>
      <c r="DX265" s="7"/>
      <c r="DY265" s="145"/>
      <c r="DZ265" s="7"/>
      <c r="EA265" s="145"/>
      <c r="EB265" s="7"/>
      <c r="EC265" s="145"/>
      <c r="ED265" s="7"/>
      <c r="EE265" s="145"/>
      <c r="EF265" s="7"/>
    </row>
    <row r="266" spans="2:136" x14ac:dyDescent="0.2"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7"/>
      <c r="Q266" s="13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U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43"/>
      <c r="DP266" s="43"/>
      <c r="DQ266" s="43"/>
      <c r="DR266" s="43"/>
      <c r="DS266" s="43"/>
      <c r="DT266" s="43"/>
      <c r="DU266" s="43"/>
      <c r="DV266" s="43"/>
      <c r="DW266" s="43"/>
      <c r="DX266" s="7"/>
      <c r="DY266" s="145"/>
      <c r="DZ266" s="7"/>
      <c r="EA266" s="145"/>
      <c r="EB266" s="7"/>
      <c r="EC266" s="145"/>
      <c r="ED266" s="7"/>
      <c r="EE266" s="145"/>
      <c r="EF266" s="7"/>
    </row>
    <row r="267" spans="2:136" x14ac:dyDescent="0.2"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7"/>
      <c r="Q267" s="13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U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43"/>
      <c r="DP267" s="43"/>
      <c r="DQ267" s="43"/>
      <c r="DR267" s="43"/>
      <c r="DS267" s="43"/>
      <c r="DT267" s="43"/>
      <c r="DU267" s="43"/>
      <c r="DV267" s="43"/>
      <c r="DW267" s="43"/>
      <c r="DX267" s="7"/>
      <c r="DY267" s="145"/>
      <c r="DZ267" s="7"/>
      <c r="EA267" s="145"/>
      <c r="EB267" s="7"/>
      <c r="EC267" s="145"/>
      <c r="ED267" s="7"/>
      <c r="EE267" s="145"/>
      <c r="EF267" s="7"/>
    </row>
    <row r="268" spans="2:136" x14ac:dyDescent="0.2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7"/>
      <c r="Q268" s="13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U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43"/>
      <c r="DP268" s="43"/>
      <c r="DQ268" s="43"/>
      <c r="DR268" s="43"/>
      <c r="DS268" s="43"/>
      <c r="DT268" s="43"/>
      <c r="DU268" s="43"/>
      <c r="DV268" s="43"/>
      <c r="DW268" s="43"/>
      <c r="DX268" s="7"/>
      <c r="DY268" s="145"/>
      <c r="DZ268" s="7"/>
      <c r="EA268" s="145"/>
      <c r="EB268" s="7"/>
      <c r="EC268" s="145"/>
      <c r="ED268" s="7"/>
      <c r="EE268" s="145"/>
      <c r="EF268" s="7"/>
    </row>
    <row r="269" spans="2:136" x14ac:dyDescent="0.2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7"/>
      <c r="Q269" s="13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U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43"/>
      <c r="DP269" s="43"/>
      <c r="DQ269" s="43"/>
      <c r="DR269" s="43"/>
      <c r="DS269" s="43"/>
      <c r="DT269" s="43"/>
      <c r="DU269" s="43"/>
      <c r="DV269" s="43"/>
      <c r="DW269" s="43"/>
      <c r="DX269" s="7"/>
      <c r="DY269" s="145"/>
      <c r="DZ269" s="7"/>
      <c r="EA269" s="145"/>
      <c r="EB269" s="7"/>
      <c r="EC269" s="145"/>
      <c r="ED269" s="7"/>
      <c r="EE269" s="145"/>
      <c r="EF269" s="7"/>
    </row>
    <row r="270" spans="2:136" x14ac:dyDescent="0.2"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7"/>
      <c r="Q270" s="13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U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43"/>
      <c r="DP270" s="43"/>
      <c r="DQ270" s="43"/>
      <c r="DR270" s="43"/>
      <c r="DS270" s="43"/>
      <c r="DT270" s="43"/>
      <c r="DU270" s="43"/>
      <c r="DV270" s="43"/>
      <c r="DW270" s="43"/>
      <c r="DX270" s="7"/>
      <c r="DY270" s="145"/>
      <c r="DZ270" s="7"/>
      <c r="EA270" s="145"/>
      <c r="EB270" s="7"/>
      <c r="EC270" s="145"/>
      <c r="ED270" s="7"/>
      <c r="EE270" s="145"/>
      <c r="EF270" s="7"/>
    </row>
    <row r="271" spans="2:136" x14ac:dyDescent="0.2"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7"/>
      <c r="Q271" s="13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U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43"/>
      <c r="DP271" s="43"/>
      <c r="DQ271" s="43"/>
      <c r="DR271" s="43"/>
      <c r="DS271" s="43"/>
      <c r="DT271" s="43"/>
      <c r="DU271" s="43"/>
      <c r="DV271" s="43"/>
      <c r="DW271" s="43"/>
      <c r="DX271" s="7"/>
      <c r="DY271" s="145"/>
      <c r="DZ271" s="7"/>
      <c r="EA271" s="145"/>
      <c r="EB271" s="7"/>
      <c r="EC271" s="145"/>
      <c r="ED271" s="7"/>
      <c r="EE271" s="145"/>
      <c r="EF271" s="7"/>
    </row>
    <row r="272" spans="2:136" x14ac:dyDescent="0.2"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7"/>
      <c r="Q272" s="13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U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43"/>
      <c r="DP272" s="43"/>
      <c r="DQ272" s="43"/>
      <c r="DR272" s="43"/>
      <c r="DS272" s="43"/>
      <c r="DT272" s="43"/>
      <c r="DU272" s="43"/>
      <c r="DV272" s="43"/>
      <c r="DW272" s="43"/>
      <c r="DX272" s="7"/>
      <c r="DY272" s="145"/>
      <c r="DZ272" s="7"/>
      <c r="EA272" s="145"/>
      <c r="EB272" s="7"/>
      <c r="EC272" s="145"/>
      <c r="ED272" s="7"/>
      <c r="EE272" s="145"/>
      <c r="EF272" s="7"/>
    </row>
    <row r="273" spans="2:136" x14ac:dyDescent="0.2"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7"/>
      <c r="Q273" s="13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U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43"/>
      <c r="DP273" s="43"/>
      <c r="DQ273" s="43"/>
      <c r="DR273" s="43"/>
      <c r="DS273" s="43"/>
      <c r="DT273" s="43"/>
      <c r="DU273" s="43"/>
      <c r="DV273" s="43"/>
      <c r="DW273" s="43"/>
      <c r="DX273" s="7"/>
      <c r="DY273" s="145"/>
      <c r="DZ273" s="7"/>
      <c r="EA273" s="145"/>
      <c r="EB273" s="7"/>
      <c r="EC273" s="145"/>
      <c r="ED273" s="7"/>
      <c r="EE273" s="145"/>
      <c r="EF273" s="7"/>
    </row>
    <row r="274" spans="2:136" x14ac:dyDescent="0.2"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7"/>
      <c r="Q274" s="13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U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43"/>
      <c r="DP274" s="43"/>
      <c r="DQ274" s="43"/>
      <c r="DR274" s="43"/>
      <c r="DS274" s="43"/>
      <c r="DT274" s="43"/>
      <c r="DU274" s="43"/>
      <c r="DV274" s="43"/>
      <c r="DW274" s="43"/>
      <c r="DX274" s="7"/>
      <c r="DY274" s="145"/>
      <c r="DZ274" s="7"/>
      <c r="EA274" s="145"/>
      <c r="EB274" s="7"/>
      <c r="EC274" s="145"/>
      <c r="ED274" s="7"/>
      <c r="EE274" s="145"/>
      <c r="EF274" s="7"/>
    </row>
    <row r="275" spans="2:136" x14ac:dyDescent="0.2"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7"/>
      <c r="Q275" s="13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U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43"/>
      <c r="DP275" s="43"/>
      <c r="DQ275" s="43"/>
      <c r="DR275" s="43"/>
      <c r="DS275" s="43"/>
      <c r="DT275" s="43"/>
      <c r="DU275" s="43"/>
      <c r="DV275" s="43"/>
      <c r="DW275" s="43"/>
      <c r="DX275" s="7"/>
      <c r="DY275" s="145"/>
      <c r="DZ275" s="7"/>
      <c r="EA275" s="145"/>
      <c r="EB275" s="7"/>
      <c r="EC275" s="145"/>
      <c r="ED275" s="7"/>
      <c r="EE275" s="145"/>
      <c r="EF275" s="7"/>
    </row>
    <row r="276" spans="2:136" x14ac:dyDescent="0.2"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7"/>
      <c r="Q276" s="13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U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43"/>
      <c r="DP276" s="43"/>
      <c r="DQ276" s="43"/>
      <c r="DR276" s="43"/>
      <c r="DS276" s="43"/>
      <c r="DT276" s="43"/>
      <c r="DU276" s="43"/>
      <c r="DV276" s="43"/>
      <c r="DW276" s="43"/>
      <c r="DX276" s="7"/>
      <c r="DY276" s="145"/>
      <c r="DZ276" s="7"/>
      <c r="EA276" s="145"/>
      <c r="EB276" s="7"/>
      <c r="EC276" s="145"/>
      <c r="ED276" s="7"/>
      <c r="EE276" s="145"/>
      <c r="EF276" s="7"/>
    </row>
    <row r="277" spans="2:136" x14ac:dyDescent="0.2"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7"/>
      <c r="Q277" s="13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U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43"/>
      <c r="DP277" s="43"/>
      <c r="DQ277" s="43"/>
      <c r="DR277" s="43"/>
      <c r="DS277" s="43"/>
      <c r="DT277" s="43"/>
      <c r="DU277" s="43"/>
      <c r="DV277" s="43"/>
      <c r="DW277" s="43"/>
      <c r="DX277" s="7"/>
      <c r="DY277" s="145"/>
      <c r="DZ277" s="7"/>
      <c r="EA277" s="145"/>
      <c r="EB277" s="7"/>
      <c r="EC277" s="145"/>
      <c r="ED277" s="7"/>
      <c r="EE277" s="145"/>
      <c r="EF277" s="7"/>
    </row>
    <row r="278" spans="2:136" x14ac:dyDescent="0.2"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7"/>
      <c r="Q278" s="13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U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43"/>
      <c r="DP278" s="43"/>
      <c r="DQ278" s="43"/>
      <c r="DR278" s="43"/>
      <c r="DS278" s="43"/>
      <c r="DT278" s="43"/>
      <c r="DU278" s="43"/>
      <c r="DV278" s="43"/>
      <c r="DW278" s="43"/>
      <c r="DX278" s="7"/>
      <c r="DY278" s="145"/>
      <c r="DZ278" s="7"/>
      <c r="EA278" s="145"/>
      <c r="EB278" s="7"/>
      <c r="EC278" s="145"/>
      <c r="ED278" s="7"/>
      <c r="EE278" s="145"/>
      <c r="EF278" s="7"/>
    </row>
    <row r="279" spans="2:136" x14ac:dyDescent="0.2"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7"/>
      <c r="Q279" s="13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U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43"/>
      <c r="DP279" s="43"/>
      <c r="DQ279" s="43"/>
      <c r="DR279" s="43"/>
      <c r="DS279" s="43"/>
      <c r="DT279" s="43"/>
      <c r="DU279" s="43"/>
      <c r="DV279" s="43"/>
      <c r="DW279" s="43"/>
      <c r="DX279" s="7"/>
      <c r="DY279" s="145"/>
      <c r="DZ279" s="7"/>
      <c r="EA279" s="145"/>
      <c r="EB279" s="7"/>
      <c r="EC279" s="145"/>
      <c r="ED279" s="7"/>
      <c r="EE279" s="145"/>
      <c r="EF279" s="7"/>
    </row>
    <row r="280" spans="2:136" x14ac:dyDescent="0.2"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7"/>
      <c r="Q280" s="13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U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43"/>
      <c r="DP280" s="43"/>
      <c r="DQ280" s="43"/>
      <c r="DR280" s="43"/>
      <c r="DS280" s="43"/>
      <c r="DT280" s="43"/>
      <c r="DU280" s="43"/>
      <c r="DV280" s="43"/>
      <c r="DW280" s="43"/>
      <c r="DX280" s="7"/>
      <c r="DY280" s="145"/>
      <c r="DZ280" s="7"/>
      <c r="EA280" s="145"/>
      <c r="EB280" s="7"/>
      <c r="EC280" s="145"/>
      <c r="ED280" s="7"/>
      <c r="EE280" s="145"/>
      <c r="EF280" s="7"/>
    </row>
    <row r="281" spans="2:136" x14ac:dyDescent="0.2"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7"/>
      <c r="Q281" s="13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U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43"/>
      <c r="DP281" s="43"/>
      <c r="DQ281" s="43"/>
      <c r="DR281" s="43"/>
      <c r="DS281" s="43"/>
      <c r="DT281" s="43"/>
      <c r="DU281" s="43"/>
      <c r="DV281" s="43"/>
      <c r="DW281" s="43"/>
      <c r="DX281" s="7"/>
      <c r="DY281" s="145"/>
      <c r="DZ281" s="7"/>
      <c r="EA281" s="145"/>
      <c r="EB281" s="7"/>
      <c r="EC281" s="145"/>
      <c r="ED281" s="7"/>
      <c r="EE281" s="145"/>
      <c r="EF281" s="7"/>
    </row>
    <row r="282" spans="2:136" x14ac:dyDescent="0.2"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7"/>
      <c r="Q282" s="13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U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43"/>
      <c r="DP282" s="43"/>
      <c r="DQ282" s="43"/>
      <c r="DR282" s="43"/>
      <c r="DS282" s="43"/>
      <c r="DT282" s="43"/>
      <c r="DU282" s="43"/>
      <c r="DV282" s="43"/>
      <c r="DW282" s="43"/>
      <c r="DX282" s="7"/>
      <c r="DY282" s="145"/>
      <c r="DZ282" s="7"/>
      <c r="EA282" s="145"/>
      <c r="EB282" s="7"/>
      <c r="EC282" s="145"/>
      <c r="ED282" s="7"/>
      <c r="EE282" s="145"/>
      <c r="EF282" s="7"/>
    </row>
    <row r="283" spans="2:136" x14ac:dyDescent="0.2"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7"/>
      <c r="Q283" s="13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U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43"/>
      <c r="DP283" s="43"/>
      <c r="DQ283" s="43"/>
      <c r="DR283" s="43"/>
      <c r="DS283" s="43"/>
      <c r="DT283" s="43"/>
      <c r="DU283" s="43"/>
      <c r="DV283" s="43"/>
      <c r="DW283" s="43"/>
      <c r="DX283" s="7"/>
      <c r="DY283" s="145"/>
      <c r="DZ283" s="7"/>
      <c r="EA283" s="145"/>
      <c r="EB283" s="7"/>
      <c r="EC283" s="145"/>
      <c r="ED283" s="7"/>
      <c r="EE283" s="145"/>
      <c r="EF283" s="7"/>
    </row>
    <row r="284" spans="2:136" x14ac:dyDescent="0.2"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7"/>
      <c r="Q284" s="13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U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43"/>
      <c r="DP284" s="43"/>
      <c r="DQ284" s="43"/>
      <c r="DR284" s="43"/>
      <c r="DS284" s="43"/>
      <c r="DT284" s="43"/>
      <c r="DU284" s="43"/>
      <c r="DV284" s="43"/>
      <c r="DW284" s="43"/>
      <c r="DX284" s="7"/>
      <c r="DY284" s="145"/>
      <c r="DZ284" s="7"/>
      <c r="EA284" s="145"/>
      <c r="EB284" s="7"/>
      <c r="EC284" s="145"/>
      <c r="ED284" s="7"/>
      <c r="EE284" s="145"/>
      <c r="EF284" s="7"/>
    </row>
    <row r="285" spans="2:136" x14ac:dyDescent="0.2"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7"/>
      <c r="Q285" s="13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U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43"/>
      <c r="DP285" s="43"/>
      <c r="DQ285" s="43"/>
      <c r="DR285" s="43"/>
      <c r="DS285" s="43"/>
      <c r="DT285" s="43"/>
      <c r="DU285" s="43"/>
      <c r="DV285" s="43"/>
      <c r="DW285" s="43"/>
      <c r="DX285" s="7"/>
      <c r="DY285" s="145"/>
      <c r="DZ285" s="7"/>
      <c r="EA285" s="145"/>
      <c r="EB285" s="7"/>
      <c r="EC285" s="145"/>
      <c r="ED285" s="7"/>
      <c r="EE285" s="145"/>
      <c r="EF285" s="7"/>
    </row>
    <row r="286" spans="2:136" x14ac:dyDescent="0.2"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7"/>
      <c r="Q286" s="13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U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43"/>
      <c r="DP286" s="43"/>
      <c r="DQ286" s="43"/>
      <c r="DR286" s="43"/>
      <c r="DS286" s="43"/>
      <c r="DT286" s="43"/>
      <c r="DU286" s="43"/>
      <c r="DV286" s="43"/>
      <c r="DW286" s="43"/>
      <c r="DX286" s="7"/>
      <c r="DY286" s="145"/>
      <c r="DZ286" s="7"/>
      <c r="EA286" s="145"/>
      <c r="EB286" s="7"/>
      <c r="EC286" s="145"/>
      <c r="ED286" s="7"/>
      <c r="EE286" s="145"/>
      <c r="EF286" s="7"/>
    </row>
    <row r="287" spans="2:136" x14ac:dyDescent="0.2"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7"/>
      <c r="Q287" s="13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U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43"/>
      <c r="DP287" s="43"/>
      <c r="DQ287" s="43"/>
      <c r="DR287" s="43"/>
      <c r="DS287" s="43"/>
      <c r="DT287" s="43"/>
      <c r="DU287" s="43"/>
      <c r="DV287" s="43"/>
      <c r="DW287" s="43"/>
      <c r="DX287" s="7"/>
      <c r="DY287" s="145"/>
      <c r="DZ287" s="7"/>
      <c r="EA287" s="145"/>
      <c r="EB287" s="7"/>
      <c r="EC287" s="145"/>
      <c r="ED287" s="7"/>
      <c r="EE287" s="145"/>
      <c r="EF287" s="7"/>
    </row>
    <row r="288" spans="2:136" x14ac:dyDescent="0.2">
      <c r="B288" s="137"/>
      <c r="C288" s="137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7"/>
      <c r="Q288" s="13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U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43"/>
      <c r="DP288" s="43"/>
      <c r="DQ288" s="43"/>
      <c r="DR288" s="43"/>
      <c r="DS288" s="43"/>
      <c r="DT288" s="43"/>
      <c r="DU288" s="43"/>
      <c r="DV288" s="43"/>
      <c r="DW288" s="43"/>
      <c r="DX288" s="7"/>
      <c r="DY288" s="145"/>
      <c r="DZ288" s="7"/>
      <c r="EA288" s="145"/>
      <c r="EB288" s="7"/>
      <c r="EC288" s="145"/>
      <c r="ED288" s="7"/>
      <c r="EE288" s="145"/>
      <c r="EF288" s="7"/>
    </row>
    <row r="289" spans="2:136" x14ac:dyDescent="0.2">
      <c r="B289" s="137"/>
      <c r="C289" s="137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7"/>
      <c r="Q289" s="13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U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43"/>
      <c r="DP289" s="43"/>
      <c r="DQ289" s="43"/>
      <c r="DR289" s="43"/>
      <c r="DS289" s="43"/>
      <c r="DT289" s="43"/>
      <c r="DU289" s="43"/>
      <c r="DV289" s="43"/>
      <c r="DW289" s="43"/>
      <c r="DX289" s="7"/>
      <c r="DY289" s="145"/>
      <c r="DZ289" s="7"/>
      <c r="EA289" s="145"/>
      <c r="EB289" s="7"/>
      <c r="EC289" s="145"/>
      <c r="ED289" s="7"/>
      <c r="EE289" s="145"/>
      <c r="EF289" s="7"/>
    </row>
    <row r="290" spans="2:136" x14ac:dyDescent="0.2">
      <c r="B290" s="137"/>
      <c r="C290" s="137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7"/>
      <c r="Q290" s="13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U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43"/>
      <c r="DP290" s="43"/>
      <c r="DQ290" s="43"/>
      <c r="DR290" s="43"/>
      <c r="DS290" s="43"/>
      <c r="DT290" s="43"/>
      <c r="DU290" s="43"/>
      <c r="DV290" s="43"/>
      <c r="DW290" s="43"/>
      <c r="DX290" s="7"/>
      <c r="DY290" s="145"/>
      <c r="DZ290" s="7"/>
      <c r="EA290" s="145"/>
      <c r="EB290" s="7"/>
      <c r="EC290" s="145"/>
      <c r="ED290" s="7"/>
      <c r="EE290" s="145"/>
      <c r="EF290" s="7"/>
    </row>
    <row r="291" spans="2:136" x14ac:dyDescent="0.2">
      <c r="B291" s="137"/>
      <c r="C291" s="137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7"/>
      <c r="Q291" s="13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U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43"/>
      <c r="DP291" s="43"/>
      <c r="DQ291" s="43"/>
      <c r="DR291" s="43"/>
      <c r="DS291" s="43"/>
      <c r="DT291" s="43"/>
      <c r="DU291" s="43"/>
      <c r="DV291" s="43"/>
      <c r="DW291" s="43"/>
      <c r="DX291" s="7"/>
      <c r="DY291" s="145"/>
      <c r="DZ291" s="7"/>
      <c r="EA291" s="145"/>
      <c r="EB291" s="7"/>
      <c r="EC291" s="145"/>
      <c r="ED291" s="7"/>
      <c r="EE291" s="145"/>
      <c r="EF291" s="7"/>
    </row>
    <row r="292" spans="2:136" x14ac:dyDescent="0.2">
      <c r="B292" s="137"/>
      <c r="C292" s="137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7"/>
      <c r="Q292" s="13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U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43"/>
      <c r="DP292" s="43"/>
      <c r="DQ292" s="43"/>
      <c r="DR292" s="43"/>
      <c r="DS292" s="43"/>
      <c r="DT292" s="43"/>
      <c r="DU292" s="43"/>
      <c r="DV292" s="43"/>
      <c r="DW292" s="43"/>
      <c r="DX292" s="7"/>
      <c r="DY292" s="145"/>
      <c r="DZ292" s="7"/>
      <c r="EA292" s="145"/>
      <c r="EB292" s="7"/>
      <c r="EC292" s="145"/>
      <c r="ED292" s="7"/>
      <c r="EE292" s="145"/>
      <c r="EF292" s="7"/>
    </row>
    <row r="293" spans="2:136" x14ac:dyDescent="0.2">
      <c r="B293" s="137"/>
      <c r="C293" s="137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7"/>
      <c r="Q293" s="13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U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43"/>
      <c r="DP293" s="43"/>
      <c r="DQ293" s="43"/>
      <c r="DR293" s="43"/>
      <c r="DS293" s="43"/>
      <c r="DT293" s="43"/>
      <c r="DU293" s="43"/>
      <c r="DV293" s="43"/>
      <c r="DW293" s="43"/>
      <c r="DX293" s="7"/>
      <c r="DY293" s="145"/>
      <c r="DZ293" s="7"/>
      <c r="EA293" s="145"/>
      <c r="EB293" s="7"/>
      <c r="EC293" s="145"/>
      <c r="ED293" s="7"/>
      <c r="EE293" s="145"/>
      <c r="EF293" s="7"/>
    </row>
    <row r="294" spans="2:136" x14ac:dyDescent="0.2">
      <c r="B294" s="137"/>
      <c r="C294" s="137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7"/>
      <c r="Q294" s="13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U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43"/>
      <c r="DP294" s="43"/>
      <c r="DQ294" s="43"/>
      <c r="DR294" s="43"/>
      <c r="DS294" s="43"/>
      <c r="DT294" s="43"/>
      <c r="DU294" s="43"/>
      <c r="DV294" s="43"/>
      <c r="DW294" s="43"/>
      <c r="DX294" s="7"/>
      <c r="DY294" s="145"/>
      <c r="DZ294" s="7"/>
      <c r="EA294" s="145"/>
      <c r="EB294" s="7"/>
      <c r="EC294" s="145"/>
      <c r="ED294" s="7"/>
      <c r="EE294" s="145"/>
      <c r="EF294" s="7"/>
    </row>
    <row r="295" spans="2:136" x14ac:dyDescent="0.2">
      <c r="B295" s="137"/>
      <c r="C295" s="137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7"/>
      <c r="Q295" s="13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U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43"/>
      <c r="DP295" s="43"/>
      <c r="DQ295" s="43"/>
      <c r="DR295" s="43"/>
      <c r="DS295" s="43"/>
      <c r="DT295" s="43"/>
      <c r="DU295" s="43"/>
      <c r="DV295" s="43"/>
      <c r="DW295" s="43"/>
      <c r="DX295" s="7"/>
      <c r="DY295" s="145"/>
      <c r="DZ295" s="7"/>
      <c r="EA295" s="145"/>
      <c r="EB295" s="7"/>
      <c r="EC295" s="145"/>
      <c r="ED295" s="7"/>
      <c r="EE295" s="145"/>
      <c r="EF295" s="7"/>
    </row>
    <row r="296" spans="2:136" x14ac:dyDescent="0.2">
      <c r="B296" s="137"/>
      <c r="C296" s="137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7"/>
      <c r="Q296" s="13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U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43"/>
      <c r="DP296" s="43"/>
      <c r="DQ296" s="43"/>
      <c r="DR296" s="43"/>
      <c r="DS296" s="43"/>
      <c r="DT296" s="43"/>
      <c r="DU296" s="43"/>
      <c r="DV296" s="43"/>
      <c r="DW296" s="43"/>
      <c r="DX296" s="7"/>
      <c r="DY296" s="145"/>
      <c r="DZ296" s="7"/>
      <c r="EA296" s="145"/>
      <c r="EB296" s="7"/>
      <c r="EC296" s="145"/>
      <c r="ED296" s="7"/>
      <c r="EE296" s="145"/>
      <c r="EF296" s="7"/>
    </row>
    <row r="297" spans="2:136" x14ac:dyDescent="0.2">
      <c r="B297" s="137"/>
      <c r="C297" s="137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7"/>
      <c r="Q297" s="13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U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43"/>
      <c r="DP297" s="43"/>
      <c r="DQ297" s="43"/>
      <c r="DR297" s="43"/>
      <c r="DS297" s="43"/>
      <c r="DT297" s="43"/>
      <c r="DU297" s="43"/>
      <c r="DV297" s="43"/>
      <c r="DW297" s="43"/>
      <c r="DX297" s="7"/>
      <c r="DY297" s="145"/>
      <c r="DZ297" s="7"/>
      <c r="EA297" s="145"/>
      <c r="EB297" s="7"/>
      <c r="EC297" s="145"/>
      <c r="ED297" s="7"/>
      <c r="EE297" s="145"/>
      <c r="EF297" s="7"/>
    </row>
    <row r="298" spans="2:136" x14ac:dyDescent="0.2">
      <c r="B298" s="137"/>
      <c r="C298" s="137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7"/>
      <c r="Q298" s="13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U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43"/>
      <c r="DP298" s="43"/>
      <c r="DQ298" s="43"/>
      <c r="DR298" s="43"/>
      <c r="DS298" s="43"/>
      <c r="DT298" s="43"/>
      <c r="DU298" s="43"/>
      <c r="DV298" s="43"/>
      <c r="DW298" s="43"/>
      <c r="DX298" s="7"/>
      <c r="DY298" s="145"/>
      <c r="DZ298" s="7"/>
      <c r="EA298" s="145"/>
      <c r="EB298" s="7"/>
      <c r="EC298" s="145"/>
      <c r="ED298" s="7"/>
      <c r="EE298" s="145"/>
      <c r="EF298" s="7"/>
    </row>
    <row r="299" spans="2:136" x14ac:dyDescent="0.2">
      <c r="B299" s="137"/>
      <c r="C299" s="137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7"/>
      <c r="Q299" s="13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U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43"/>
      <c r="DP299" s="43"/>
      <c r="DQ299" s="43"/>
      <c r="DR299" s="43"/>
      <c r="DS299" s="43"/>
      <c r="DT299" s="43"/>
      <c r="DU299" s="43"/>
      <c r="DV299" s="43"/>
      <c r="DW299" s="43"/>
      <c r="DX299" s="7"/>
      <c r="DY299" s="145"/>
      <c r="DZ299" s="7"/>
      <c r="EA299" s="145"/>
      <c r="EB299" s="7"/>
      <c r="EC299" s="145"/>
      <c r="ED299" s="7"/>
      <c r="EE299" s="145"/>
      <c r="EF299" s="7"/>
    </row>
    <row r="300" spans="2:136" x14ac:dyDescent="0.2">
      <c r="B300" s="137"/>
      <c r="C300" s="137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7"/>
      <c r="Q300" s="13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U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43"/>
      <c r="DP300" s="43"/>
      <c r="DQ300" s="43"/>
      <c r="DR300" s="43"/>
      <c r="DS300" s="43"/>
      <c r="DT300" s="43"/>
      <c r="DU300" s="43"/>
      <c r="DV300" s="43"/>
      <c r="DW300" s="43"/>
      <c r="DX300" s="7"/>
      <c r="DY300" s="145"/>
      <c r="DZ300" s="7"/>
      <c r="EA300" s="145"/>
      <c r="EB300" s="7"/>
      <c r="EC300" s="145"/>
      <c r="ED300" s="7"/>
      <c r="EE300" s="145"/>
      <c r="EF300" s="7"/>
    </row>
    <row r="301" spans="2:136" x14ac:dyDescent="0.2">
      <c r="B301" s="137"/>
      <c r="C301" s="137"/>
      <c r="D301" s="138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U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43"/>
      <c r="DP301" s="43"/>
      <c r="DQ301" s="43"/>
      <c r="DR301" s="43"/>
      <c r="DS301" s="43"/>
      <c r="DT301" s="43"/>
      <c r="DU301" s="43"/>
      <c r="DV301" s="43"/>
      <c r="DW301" s="43"/>
      <c r="DX301" s="7"/>
      <c r="DY301" s="145"/>
      <c r="DZ301" s="7"/>
      <c r="EA301" s="145"/>
      <c r="EB301" s="7"/>
      <c r="EC301" s="145"/>
      <c r="ED301" s="7"/>
      <c r="EE301" s="145"/>
      <c r="EF301" s="7"/>
    </row>
    <row r="302" spans="2:136" x14ac:dyDescent="0.2">
      <c r="B302" s="137"/>
      <c r="C302" s="137"/>
      <c r="D302" s="138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U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43"/>
      <c r="DP302" s="43"/>
      <c r="DQ302" s="43"/>
      <c r="DR302" s="43"/>
      <c r="DS302" s="43"/>
      <c r="DT302" s="43"/>
      <c r="DU302" s="43"/>
      <c r="DV302" s="43"/>
      <c r="DW302" s="43"/>
      <c r="DX302" s="7"/>
      <c r="DY302" s="145"/>
      <c r="DZ302" s="7"/>
      <c r="EA302" s="145"/>
      <c r="EB302" s="7"/>
      <c r="EC302" s="145"/>
      <c r="ED302" s="7"/>
      <c r="EE302" s="145"/>
      <c r="EF302" s="7"/>
    </row>
    <row r="303" spans="2:136" x14ac:dyDescent="0.2">
      <c r="B303" s="137"/>
      <c r="C303" s="137"/>
      <c r="D303" s="138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U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43"/>
      <c r="DP303" s="43"/>
      <c r="DQ303" s="43"/>
      <c r="DR303" s="43"/>
      <c r="DS303" s="43"/>
      <c r="DT303" s="43"/>
      <c r="DU303" s="43"/>
      <c r="DV303" s="43"/>
      <c r="DW303" s="43"/>
      <c r="DX303" s="7"/>
      <c r="DY303" s="145"/>
      <c r="DZ303" s="7"/>
      <c r="EA303" s="145"/>
      <c r="EB303" s="7"/>
      <c r="EC303" s="145"/>
      <c r="ED303" s="7"/>
      <c r="EE303" s="145"/>
      <c r="EF303" s="7"/>
    </row>
    <row r="304" spans="2:136" x14ac:dyDescent="0.2">
      <c r="B304" s="137"/>
      <c r="C304" s="137"/>
      <c r="D304" s="138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U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43"/>
      <c r="DP304" s="43"/>
      <c r="DQ304" s="43"/>
      <c r="DR304" s="43"/>
      <c r="DS304" s="43"/>
      <c r="DT304" s="43"/>
      <c r="DU304" s="43"/>
      <c r="DV304" s="43"/>
      <c r="DW304" s="43"/>
      <c r="DX304" s="7"/>
      <c r="DY304" s="145"/>
      <c r="DZ304" s="7"/>
      <c r="EA304" s="145"/>
      <c r="EB304" s="7"/>
      <c r="EC304" s="145"/>
      <c r="ED304" s="7"/>
      <c r="EE304" s="145"/>
      <c r="EF304" s="7"/>
    </row>
    <row r="305" spans="2:136" x14ac:dyDescent="0.2">
      <c r="B305" s="137"/>
      <c r="C305" s="137"/>
      <c r="D305" s="138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U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43"/>
      <c r="DP305" s="43"/>
      <c r="DQ305" s="43"/>
      <c r="DR305" s="43"/>
      <c r="DS305" s="43"/>
      <c r="DT305" s="43"/>
      <c r="DU305" s="43"/>
      <c r="DV305" s="43"/>
      <c r="DW305" s="43"/>
      <c r="DX305" s="7"/>
      <c r="DY305" s="145"/>
      <c r="DZ305" s="7"/>
      <c r="EA305" s="145"/>
      <c r="EB305" s="7"/>
      <c r="EC305" s="145"/>
      <c r="ED305" s="7"/>
      <c r="EE305" s="145"/>
      <c r="EF305" s="7"/>
    </row>
    <row r="306" spans="2:136" x14ac:dyDescent="0.2"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U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43"/>
      <c r="DP306" s="43"/>
      <c r="DQ306" s="43"/>
      <c r="DR306" s="43"/>
      <c r="DS306" s="43"/>
      <c r="DT306" s="43"/>
      <c r="DU306" s="43"/>
      <c r="DV306" s="43"/>
      <c r="DW306" s="43"/>
      <c r="DX306" s="7"/>
      <c r="DY306" s="145"/>
      <c r="DZ306" s="7"/>
      <c r="EA306" s="145"/>
      <c r="EB306" s="7"/>
      <c r="EC306" s="145"/>
      <c r="ED306" s="7"/>
      <c r="EE306" s="145"/>
      <c r="EF306" s="7"/>
    </row>
    <row r="307" spans="2:136" x14ac:dyDescent="0.2"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U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43"/>
      <c r="DP307" s="43"/>
      <c r="DQ307" s="43"/>
      <c r="DR307" s="43"/>
      <c r="DS307" s="43"/>
      <c r="DT307" s="43"/>
      <c r="DU307" s="43"/>
      <c r="DV307" s="43"/>
      <c r="DW307" s="43"/>
      <c r="DX307" s="7"/>
      <c r="DY307" s="145"/>
      <c r="DZ307" s="7"/>
      <c r="EA307" s="145"/>
      <c r="EB307" s="7"/>
      <c r="EC307" s="145"/>
      <c r="ED307" s="7"/>
      <c r="EE307" s="145"/>
      <c r="EF307" s="7"/>
    </row>
    <row r="308" spans="2:136" x14ac:dyDescent="0.2"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U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43"/>
      <c r="DP308" s="43"/>
      <c r="DQ308" s="43"/>
      <c r="DR308" s="43"/>
      <c r="DS308" s="43"/>
      <c r="DT308" s="43"/>
      <c r="DU308" s="43"/>
      <c r="DV308" s="43"/>
      <c r="DW308" s="43"/>
      <c r="DX308" s="7"/>
      <c r="DY308" s="145"/>
      <c r="DZ308" s="7"/>
      <c r="EA308" s="145"/>
      <c r="EB308" s="7"/>
      <c r="EC308" s="145"/>
      <c r="ED308" s="7"/>
      <c r="EE308" s="145"/>
      <c r="EF308" s="7"/>
    </row>
    <row r="309" spans="2:136" x14ac:dyDescent="0.2"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U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43"/>
      <c r="DP309" s="43"/>
      <c r="DQ309" s="43"/>
      <c r="DR309" s="43"/>
      <c r="DS309" s="43"/>
      <c r="DT309" s="43"/>
      <c r="DU309" s="43"/>
      <c r="DV309" s="43"/>
      <c r="DW309" s="43"/>
      <c r="DX309" s="7"/>
      <c r="DY309" s="145"/>
      <c r="DZ309" s="7"/>
      <c r="EA309" s="145"/>
      <c r="EB309" s="7"/>
      <c r="EC309" s="145"/>
      <c r="ED309" s="7"/>
      <c r="EE309" s="145"/>
      <c r="EF309" s="7"/>
    </row>
    <row r="310" spans="2:136" x14ac:dyDescent="0.2"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U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43"/>
      <c r="DP310" s="43"/>
      <c r="DQ310" s="43"/>
      <c r="DR310" s="43"/>
      <c r="DS310" s="43"/>
      <c r="DT310" s="43"/>
      <c r="DU310" s="43"/>
      <c r="DV310" s="43"/>
      <c r="DW310" s="43"/>
      <c r="DX310" s="7"/>
      <c r="DY310" s="145"/>
      <c r="DZ310" s="7"/>
      <c r="EA310" s="145"/>
      <c r="EB310" s="7"/>
      <c r="EC310" s="145"/>
      <c r="ED310" s="7"/>
      <c r="EE310" s="145"/>
      <c r="EF310" s="7"/>
    </row>
    <row r="311" spans="2:136" x14ac:dyDescent="0.2"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U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43"/>
      <c r="DP311" s="43"/>
      <c r="DQ311" s="43"/>
      <c r="DR311" s="43"/>
      <c r="DS311" s="43"/>
      <c r="DT311" s="43"/>
      <c r="DU311" s="43"/>
      <c r="DV311" s="43"/>
      <c r="DW311" s="43"/>
      <c r="DX311" s="7"/>
      <c r="DY311" s="145"/>
      <c r="DZ311" s="7"/>
      <c r="EA311" s="145"/>
      <c r="EB311" s="7"/>
      <c r="EC311" s="145"/>
      <c r="ED311" s="7"/>
      <c r="EE311" s="145"/>
      <c r="EF311" s="7"/>
    </row>
    <row r="312" spans="2:136" x14ac:dyDescent="0.2"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U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43"/>
      <c r="DP312" s="43"/>
      <c r="DQ312" s="43"/>
      <c r="DR312" s="43"/>
      <c r="DS312" s="43"/>
      <c r="DT312" s="43"/>
      <c r="DU312" s="43"/>
      <c r="DV312" s="43"/>
      <c r="DW312" s="43"/>
      <c r="DX312" s="7"/>
      <c r="DY312" s="145"/>
      <c r="DZ312" s="7"/>
      <c r="EA312" s="145"/>
      <c r="EB312" s="7"/>
      <c r="EC312" s="145"/>
      <c r="ED312" s="7"/>
      <c r="EE312" s="145"/>
      <c r="EF312" s="7"/>
    </row>
    <row r="313" spans="2:136" x14ac:dyDescent="0.2"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U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43"/>
      <c r="DP313" s="43"/>
      <c r="DQ313" s="43"/>
      <c r="DR313" s="43"/>
      <c r="DS313" s="43"/>
      <c r="DT313" s="43"/>
      <c r="DU313" s="43"/>
      <c r="DV313" s="43"/>
      <c r="DW313" s="43"/>
      <c r="DX313" s="7"/>
      <c r="DY313" s="145"/>
      <c r="DZ313" s="7"/>
      <c r="EA313" s="145"/>
      <c r="EB313" s="7"/>
      <c r="EC313" s="145"/>
      <c r="ED313" s="7"/>
      <c r="EE313" s="145"/>
      <c r="EF313" s="7"/>
    </row>
    <row r="314" spans="2:136" x14ac:dyDescent="0.2"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U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43"/>
      <c r="DP314" s="43"/>
      <c r="DQ314" s="43"/>
      <c r="DR314" s="43"/>
      <c r="DS314" s="43"/>
      <c r="DT314" s="43"/>
      <c r="DU314" s="43"/>
      <c r="DV314" s="43"/>
      <c r="DW314" s="43"/>
      <c r="DX314" s="7"/>
      <c r="DY314" s="145"/>
      <c r="DZ314" s="7"/>
      <c r="EA314" s="145"/>
      <c r="EB314" s="7"/>
      <c r="EC314" s="145"/>
      <c r="ED314" s="7"/>
      <c r="EE314" s="145"/>
      <c r="EF314" s="7"/>
    </row>
    <row r="315" spans="2:136" x14ac:dyDescent="0.2"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U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43"/>
      <c r="DP315" s="43"/>
      <c r="DQ315" s="43"/>
      <c r="DR315" s="43"/>
      <c r="DS315" s="43"/>
      <c r="DT315" s="43"/>
      <c r="DU315" s="43"/>
      <c r="DV315" s="43"/>
      <c r="DW315" s="43"/>
      <c r="DX315" s="7"/>
      <c r="DY315" s="145"/>
      <c r="DZ315" s="7"/>
      <c r="EA315" s="145"/>
      <c r="EB315" s="7"/>
      <c r="EC315" s="145"/>
      <c r="ED315" s="7"/>
      <c r="EE315" s="145"/>
      <c r="EF315" s="7"/>
    </row>
    <row r="316" spans="2:136" x14ac:dyDescent="0.2"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U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43"/>
      <c r="DP316" s="43"/>
      <c r="DQ316" s="43"/>
      <c r="DR316" s="43"/>
      <c r="DS316" s="43"/>
      <c r="DT316" s="43"/>
      <c r="DU316" s="43"/>
      <c r="DV316" s="43"/>
      <c r="DW316" s="43"/>
      <c r="DX316" s="7"/>
      <c r="DY316" s="145"/>
      <c r="DZ316" s="7"/>
      <c r="EA316" s="145"/>
      <c r="EB316" s="7"/>
      <c r="EC316" s="145"/>
      <c r="ED316" s="7"/>
      <c r="EE316" s="145"/>
      <c r="EF316" s="7"/>
    </row>
    <row r="317" spans="2:136" x14ac:dyDescent="0.2"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U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43"/>
      <c r="DP317" s="43"/>
      <c r="DQ317" s="43"/>
      <c r="DR317" s="43"/>
      <c r="DS317" s="43"/>
      <c r="DT317" s="43"/>
      <c r="DU317" s="43"/>
      <c r="DV317" s="43"/>
      <c r="DW317" s="43"/>
      <c r="DX317" s="7"/>
      <c r="DY317" s="145"/>
      <c r="DZ317" s="7"/>
      <c r="EA317" s="145"/>
      <c r="EB317" s="7"/>
      <c r="EC317" s="145"/>
      <c r="ED317" s="7"/>
      <c r="EE317" s="145"/>
      <c r="EF317" s="7"/>
    </row>
    <row r="318" spans="2:136" x14ac:dyDescent="0.2"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U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43"/>
      <c r="DP318" s="43"/>
      <c r="DQ318" s="43"/>
      <c r="DR318" s="43"/>
      <c r="DS318" s="43"/>
      <c r="DT318" s="43"/>
      <c r="DU318" s="43"/>
      <c r="DV318" s="43"/>
      <c r="DW318" s="43"/>
      <c r="DX318" s="7"/>
      <c r="DY318" s="145"/>
      <c r="DZ318" s="7"/>
      <c r="EA318" s="145"/>
      <c r="EB318" s="7"/>
      <c r="EC318" s="145"/>
      <c r="ED318" s="7"/>
      <c r="EE318" s="145"/>
      <c r="EF318" s="7"/>
    </row>
    <row r="319" spans="2:136" x14ac:dyDescent="0.2"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U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43"/>
      <c r="DP319" s="43"/>
      <c r="DQ319" s="43"/>
      <c r="DR319" s="43"/>
      <c r="DS319" s="43"/>
      <c r="DT319" s="43"/>
      <c r="DU319" s="43"/>
      <c r="DV319" s="43"/>
      <c r="DW319" s="43"/>
      <c r="DX319" s="7"/>
      <c r="DY319" s="145"/>
      <c r="DZ319" s="7"/>
      <c r="EA319" s="145"/>
      <c r="EB319" s="7"/>
      <c r="EC319" s="145"/>
      <c r="ED319" s="7"/>
      <c r="EE319" s="145"/>
      <c r="EF319" s="7"/>
    </row>
    <row r="320" spans="2:136" x14ac:dyDescent="0.2"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U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43"/>
      <c r="DP320" s="43"/>
      <c r="DQ320" s="43"/>
      <c r="DR320" s="43"/>
      <c r="DS320" s="43"/>
      <c r="DT320" s="43"/>
      <c r="DU320" s="43"/>
      <c r="DV320" s="43"/>
      <c r="DW320" s="43"/>
      <c r="DX320" s="7"/>
      <c r="DY320" s="145"/>
      <c r="DZ320" s="7"/>
      <c r="EA320" s="145"/>
      <c r="EB320" s="7"/>
      <c r="EC320" s="145"/>
      <c r="ED320" s="7"/>
      <c r="EE320" s="145"/>
      <c r="EF320" s="7"/>
    </row>
    <row r="321" spans="2:136" x14ac:dyDescent="0.2"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U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43"/>
      <c r="DP321" s="43"/>
      <c r="DQ321" s="43"/>
      <c r="DR321" s="43"/>
      <c r="DS321" s="43"/>
      <c r="DT321" s="43"/>
      <c r="DU321" s="43"/>
      <c r="DV321" s="43"/>
      <c r="DW321" s="43"/>
      <c r="DX321" s="7"/>
      <c r="DY321" s="145"/>
      <c r="DZ321" s="7"/>
      <c r="EA321" s="145"/>
      <c r="EB321" s="7"/>
      <c r="EC321" s="145"/>
      <c r="ED321" s="7"/>
      <c r="EE321" s="145"/>
      <c r="EF321" s="7"/>
    </row>
    <row r="322" spans="2:136" x14ac:dyDescent="0.2"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U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43"/>
      <c r="DP322" s="43"/>
      <c r="DQ322" s="43"/>
      <c r="DR322" s="43"/>
      <c r="DS322" s="43"/>
      <c r="DT322" s="43"/>
      <c r="DU322" s="43"/>
      <c r="DV322" s="43"/>
      <c r="DW322" s="43"/>
      <c r="DX322" s="7"/>
      <c r="DY322" s="145"/>
      <c r="DZ322" s="7"/>
      <c r="EA322" s="145"/>
      <c r="EB322" s="7"/>
      <c r="EC322" s="145"/>
      <c r="ED322" s="7"/>
      <c r="EE322" s="145"/>
      <c r="EF322" s="7"/>
    </row>
    <row r="323" spans="2:136" x14ac:dyDescent="0.2"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U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43"/>
      <c r="DP323" s="43"/>
      <c r="DQ323" s="43"/>
      <c r="DR323" s="43"/>
      <c r="DS323" s="43"/>
      <c r="DT323" s="43"/>
      <c r="DU323" s="43"/>
      <c r="DV323" s="43"/>
      <c r="DW323" s="43"/>
      <c r="DX323" s="7"/>
      <c r="DY323" s="145"/>
      <c r="DZ323" s="7"/>
      <c r="EA323" s="145"/>
      <c r="EB323" s="7"/>
      <c r="EC323" s="145"/>
      <c r="ED323" s="7"/>
      <c r="EE323" s="145"/>
      <c r="EF323" s="7"/>
    </row>
    <row r="324" spans="2:136" x14ac:dyDescent="0.2"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U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43"/>
      <c r="DP324" s="43"/>
      <c r="DQ324" s="43"/>
      <c r="DR324" s="43"/>
      <c r="DS324" s="43"/>
      <c r="DT324" s="43"/>
      <c r="DU324" s="43"/>
      <c r="DV324" s="43"/>
      <c r="DW324" s="43"/>
      <c r="DX324" s="7"/>
      <c r="DY324" s="145"/>
      <c r="DZ324" s="7"/>
      <c r="EA324" s="145"/>
      <c r="EB324" s="7"/>
      <c r="EC324" s="145"/>
      <c r="ED324" s="7"/>
      <c r="EE324" s="145"/>
      <c r="EF324" s="7"/>
    </row>
    <row r="325" spans="2:136" x14ac:dyDescent="0.2"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U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43"/>
      <c r="DP325" s="43"/>
      <c r="DQ325" s="43"/>
      <c r="DR325" s="43"/>
      <c r="DS325" s="43"/>
      <c r="DT325" s="43"/>
      <c r="DU325" s="43"/>
      <c r="DV325" s="43"/>
      <c r="DW325" s="43"/>
      <c r="DX325" s="7"/>
      <c r="DY325" s="145"/>
      <c r="DZ325" s="7"/>
      <c r="EA325" s="145"/>
      <c r="EB325" s="7"/>
      <c r="EC325" s="145"/>
      <c r="ED325" s="7"/>
      <c r="EE325" s="145"/>
      <c r="EF325" s="7"/>
    </row>
    <row r="326" spans="2:136" x14ac:dyDescent="0.2"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U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43"/>
      <c r="DP326" s="43"/>
      <c r="DQ326" s="43"/>
      <c r="DR326" s="43"/>
      <c r="DS326" s="43"/>
      <c r="DT326" s="43"/>
      <c r="DU326" s="43"/>
      <c r="DV326" s="43"/>
      <c r="DW326" s="43"/>
      <c r="DX326" s="7"/>
      <c r="DY326" s="145"/>
      <c r="DZ326" s="7"/>
      <c r="EA326" s="145"/>
      <c r="EB326" s="7"/>
      <c r="EC326" s="145"/>
      <c r="ED326" s="7"/>
      <c r="EE326" s="145"/>
      <c r="EF326" s="7"/>
    </row>
    <row r="327" spans="2:136" x14ac:dyDescent="0.2"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U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43"/>
      <c r="DP327" s="43"/>
      <c r="DQ327" s="43"/>
      <c r="DR327" s="43"/>
      <c r="DS327" s="43"/>
      <c r="DT327" s="43"/>
      <c r="DU327" s="43"/>
      <c r="DV327" s="43"/>
      <c r="DW327" s="43"/>
      <c r="DX327" s="7"/>
      <c r="DY327" s="145"/>
      <c r="DZ327" s="7"/>
      <c r="EA327" s="145"/>
      <c r="EB327" s="7"/>
      <c r="EC327" s="145"/>
      <c r="ED327" s="7"/>
      <c r="EE327" s="145"/>
      <c r="EF327" s="7"/>
    </row>
    <row r="328" spans="2:136" x14ac:dyDescent="0.2"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U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43"/>
      <c r="DP328" s="43"/>
      <c r="DQ328" s="43"/>
      <c r="DR328" s="43"/>
      <c r="DS328" s="43"/>
      <c r="DT328" s="43"/>
      <c r="DU328" s="43"/>
      <c r="DV328" s="43"/>
      <c r="DW328" s="43"/>
      <c r="DX328" s="7"/>
      <c r="DY328" s="145"/>
      <c r="DZ328" s="7"/>
      <c r="EA328" s="145"/>
      <c r="EB328" s="7"/>
      <c r="EC328" s="145"/>
      <c r="ED328" s="7"/>
      <c r="EE328" s="145"/>
      <c r="EF328" s="7"/>
    </row>
    <row r="329" spans="2:136" x14ac:dyDescent="0.2"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U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43"/>
      <c r="DP329" s="43"/>
      <c r="DQ329" s="43"/>
      <c r="DR329" s="43"/>
      <c r="DS329" s="43"/>
      <c r="DT329" s="43"/>
      <c r="DU329" s="43"/>
      <c r="DV329" s="43"/>
      <c r="DW329" s="43"/>
      <c r="DX329" s="7"/>
      <c r="DY329" s="145"/>
      <c r="DZ329" s="7"/>
      <c r="EA329" s="145"/>
      <c r="EB329" s="7"/>
      <c r="EC329" s="145"/>
      <c r="ED329" s="7"/>
      <c r="EE329" s="145"/>
      <c r="EF329" s="7"/>
    </row>
    <row r="330" spans="2:136" x14ac:dyDescent="0.2"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U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43"/>
      <c r="DP330" s="43"/>
      <c r="DQ330" s="43"/>
      <c r="DR330" s="43"/>
      <c r="DS330" s="43"/>
      <c r="DT330" s="43"/>
      <c r="DU330" s="43"/>
      <c r="DV330" s="43"/>
      <c r="DW330" s="43"/>
      <c r="DX330" s="7"/>
      <c r="DY330" s="145"/>
      <c r="DZ330" s="7"/>
      <c r="EA330" s="145"/>
      <c r="EB330" s="7"/>
      <c r="EC330" s="145"/>
      <c r="ED330" s="7"/>
      <c r="EE330" s="145"/>
      <c r="EF330" s="7"/>
    </row>
    <row r="331" spans="2:136" x14ac:dyDescent="0.2"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U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43"/>
      <c r="DP331" s="43"/>
      <c r="DQ331" s="43"/>
      <c r="DR331" s="43"/>
      <c r="DS331" s="43"/>
      <c r="DT331" s="43"/>
      <c r="DU331" s="43"/>
      <c r="DV331" s="43"/>
      <c r="DW331" s="43"/>
      <c r="DX331" s="7"/>
      <c r="DY331" s="145"/>
      <c r="DZ331" s="7"/>
      <c r="EA331" s="145"/>
      <c r="EB331" s="7"/>
      <c r="EC331" s="145"/>
      <c r="ED331" s="7"/>
      <c r="EE331" s="145"/>
      <c r="EF331" s="7"/>
    </row>
    <row r="332" spans="2:136" x14ac:dyDescent="0.2"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U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43"/>
      <c r="DP332" s="43"/>
      <c r="DQ332" s="43"/>
      <c r="DR332" s="43"/>
      <c r="DS332" s="43"/>
      <c r="DT332" s="43"/>
      <c r="DU332" s="43"/>
      <c r="DV332" s="43"/>
      <c r="DW332" s="43"/>
      <c r="DX332" s="7"/>
      <c r="DY332" s="145"/>
      <c r="DZ332" s="7"/>
      <c r="EA332" s="145"/>
      <c r="EB332" s="7"/>
      <c r="EC332" s="145"/>
      <c r="ED332" s="7"/>
      <c r="EE332" s="145"/>
      <c r="EF332" s="7"/>
    </row>
    <row r="333" spans="2:136" x14ac:dyDescent="0.2"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U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43"/>
      <c r="DP333" s="43"/>
      <c r="DQ333" s="43"/>
      <c r="DR333" s="43"/>
      <c r="DS333" s="43"/>
      <c r="DT333" s="43"/>
      <c r="DU333" s="43"/>
      <c r="DV333" s="43"/>
      <c r="DW333" s="43"/>
      <c r="DX333" s="7"/>
      <c r="DY333" s="145"/>
      <c r="DZ333" s="7"/>
      <c r="EA333" s="145"/>
      <c r="EB333" s="7"/>
      <c r="EC333" s="145"/>
      <c r="ED333" s="7"/>
      <c r="EE333" s="145"/>
      <c r="EF333" s="7"/>
    </row>
    <row r="334" spans="2:136" x14ac:dyDescent="0.2"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U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43"/>
      <c r="DP334" s="43"/>
      <c r="DQ334" s="43"/>
      <c r="DR334" s="43"/>
      <c r="DS334" s="43"/>
      <c r="DT334" s="43"/>
      <c r="DU334" s="43"/>
      <c r="DV334" s="43"/>
      <c r="DW334" s="43"/>
      <c r="DX334" s="7"/>
      <c r="DY334" s="145"/>
      <c r="DZ334" s="7"/>
      <c r="EA334" s="145"/>
      <c r="EB334" s="7"/>
      <c r="EC334" s="145"/>
      <c r="ED334" s="7"/>
      <c r="EE334" s="145"/>
      <c r="EF334" s="7"/>
    </row>
    <row r="335" spans="2:136" x14ac:dyDescent="0.2"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U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43"/>
      <c r="DP335" s="43"/>
      <c r="DQ335" s="43"/>
      <c r="DR335" s="43"/>
      <c r="DS335" s="43"/>
      <c r="DT335" s="43"/>
      <c r="DU335" s="43"/>
      <c r="DV335" s="43"/>
      <c r="DW335" s="43"/>
      <c r="DX335" s="7"/>
      <c r="DY335" s="145"/>
      <c r="DZ335" s="7"/>
      <c r="EA335" s="145"/>
      <c r="EB335" s="7"/>
      <c r="EC335" s="145"/>
      <c r="ED335" s="7"/>
      <c r="EE335" s="145"/>
      <c r="EF335" s="7"/>
    </row>
    <row r="336" spans="2:136" x14ac:dyDescent="0.2"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U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43"/>
      <c r="DP336" s="43"/>
      <c r="DQ336" s="43"/>
      <c r="DR336" s="43"/>
      <c r="DS336" s="43"/>
      <c r="DT336" s="43"/>
      <c r="DU336" s="43"/>
      <c r="DV336" s="43"/>
      <c r="DW336" s="43"/>
      <c r="DX336" s="7"/>
      <c r="DY336" s="145"/>
      <c r="DZ336" s="7"/>
      <c r="EA336" s="145"/>
      <c r="EB336" s="7"/>
      <c r="EC336" s="145"/>
      <c r="ED336" s="7"/>
      <c r="EE336" s="145"/>
      <c r="EF336" s="7"/>
    </row>
    <row r="337" spans="2:136" x14ac:dyDescent="0.2"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U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43"/>
      <c r="DP337" s="43"/>
      <c r="DQ337" s="43"/>
      <c r="DR337" s="43"/>
      <c r="DS337" s="43"/>
      <c r="DT337" s="43"/>
      <c r="DU337" s="43"/>
      <c r="DV337" s="43"/>
      <c r="DW337" s="43"/>
      <c r="DX337" s="7"/>
      <c r="DY337" s="145"/>
      <c r="DZ337" s="7"/>
      <c r="EA337" s="145"/>
      <c r="EB337" s="7"/>
      <c r="EC337" s="145"/>
      <c r="ED337" s="7"/>
      <c r="EE337" s="145"/>
      <c r="EF337" s="7"/>
    </row>
    <row r="338" spans="2:136" x14ac:dyDescent="0.2"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U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43"/>
      <c r="DP338" s="43"/>
      <c r="DQ338" s="43"/>
      <c r="DR338" s="43"/>
      <c r="DS338" s="43"/>
      <c r="DT338" s="43"/>
      <c r="DU338" s="43"/>
      <c r="DV338" s="43"/>
      <c r="DW338" s="43"/>
      <c r="DX338" s="7"/>
      <c r="DY338" s="145"/>
      <c r="DZ338" s="7"/>
      <c r="EA338" s="145"/>
      <c r="EB338" s="7"/>
      <c r="EC338" s="145"/>
      <c r="ED338" s="7"/>
      <c r="EE338" s="145"/>
      <c r="EF338" s="7"/>
    </row>
    <row r="339" spans="2:136" x14ac:dyDescent="0.2"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U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43"/>
      <c r="DP339" s="43"/>
      <c r="DQ339" s="43"/>
      <c r="DR339" s="43"/>
      <c r="DS339" s="43"/>
      <c r="DT339" s="43"/>
      <c r="DU339" s="43"/>
      <c r="DV339" s="43"/>
      <c r="DW339" s="43"/>
      <c r="DX339" s="7"/>
      <c r="DY339" s="145"/>
      <c r="DZ339" s="7"/>
      <c r="EA339" s="145"/>
      <c r="EB339" s="7"/>
      <c r="EC339" s="145"/>
      <c r="ED339" s="7"/>
      <c r="EE339" s="145"/>
      <c r="EF339" s="7"/>
    </row>
    <row r="340" spans="2:136" x14ac:dyDescent="0.2"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U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43"/>
      <c r="DP340" s="43"/>
      <c r="DQ340" s="43"/>
      <c r="DR340" s="43"/>
      <c r="DS340" s="43"/>
      <c r="DT340" s="43"/>
      <c r="DU340" s="43"/>
      <c r="DV340" s="43"/>
      <c r="DW340" s="43"/>
      <c r="DX340" s="7"/>
      <c r="DY340" s="145"/>
      <c r="DZ340" s="7"/>
      <c r="EA340" s="145"/>
      <c r="EB340" s="7"/>
      <c r="EC340" s="145"/>
      <c r="ED340" s="7"/>
      <c r="EE340" s="145"/>
      <c r="EF340" s="7"/>
    </row>
    <row r="341" spans="2:136" x14ac:dyDescent="0.2"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U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43"/>
      <c r="DP341" s="43"/>
      <c r="DQ341" s="43"/>
      <c r="DR341" s="43"/>
      <c r="DS341" s="43"/>
      <c r="DT341" s="43"/>
      <c r="DU341" s="43"/>
      <c r="DV341" s="43"/>
      <c r="DW341" s="43"/>
      <c r="DX341" s="7"/>
      <c r="DY341" s="145"/>
      <c r="DZ341" s="7"/>
      <c r="EA341" s="145"/>
      <c r="EB341" s="7"/>
      <c r="EC341" s="145"/>
      <c r="ED341" s="7"/>
      <c r="EE341" s="145"/>
      <c r="EF341" s="7"/>
    </row>
    <row r="342" spans="2:136" x14ac:dyDescent="0.2"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U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43"/>
      <c r="DP342" s="43"/>
      <c r="DQ342" s="43"/>
      <c r="DR342" s="43"/>
      <c r="DS342" s="43"/>
      <c r="DT342" s="43"/>
      <c r="DU342" s="43"/>
      <c r="DV342" s="43"/>
      <c r="DW342" s="43"/>
      <c r="DX342" s="7"/>
      <c r="DY342" s="145"/>
      <c r="DZ342" s="7"/>
      <c r="EA342" s="145"/>
      <c r="EB342" s="7"/>
      <c r="EC342" s="145"/>
      <c r="ED342" s="7"/>
      <c r="EE342" s="145"/>
      <c r="EF342" s="7"/>
    </row>
    <row r="343" spans="2:136" x14ac:dyDescent="0.2"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U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43"/>
      <c r="DP343" s="43"/>
      <c r="DQ343" s="43"/>
      <c r="DR343" s="43"/>
      <c r="DS343" s="43"/>
      <c r="DT343" s="43"/>
      <c r="DU343" s="43"/>
      <c r="DV343" s="43"/>
      <c r="DW343" s="43"/>
      <c r="DX343" s="7"/>
      <c r="DY343" s="145"/>
      <c r="DZ343" s="7"/>
      <c r="EA343" s="145"/>
      <c r="EB343" s="7"/>
      <c r="EC343" s="145"/>
      <c r="ED343" s="7"/>
      <c r="EE343" s="145"/>
      <c r="EF343" s="7"/>
    </row>
    <row r="344" spans="2:136" x14ac:dyDescent="0.2"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U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43"/>
      <c r="DP344" s="43"/>
      <c r="DQ344" s="43"/>
      <c r="DR344" s="43"/>
      <c r="DS344" s="43"/>
      <c r="DT344" s="43"/>
      <c r="DU344" s="43"/>
      <c r="DV344" s="43"/>
      <c r="DW344" s="43"/>
      <c r="DX344" s="7"/>
      <c r="DY344" s="145"/>
      <c r="DZ344" s="7"/>
      <c r="EA344" s="145"/>
      <c r="EB344" s="7"/>
      <c r="EC344" s="145"/>
      <c r="ED344" s="7"/>
      <c r="EE344" s="145"/>
      <c r="EF344" s="7"/>
    </row>
    <row r="345" spans="2:136" x14ac:dyDescent="0.2"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U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43"/>
      <c r="DP345" s="43"/>
      <c r="DQ345" s="43"/>
      <c r="DR345" s="43"/>
      <c r="DS345" s="43"/>
      <c r="DT345" s="43"/>
      <c r="DU345" s="43"/>
      <c r="DV345" s="43"/>
      <c r="DW345" s="43"/>
      <c r="DX345" s="7"/>
      <c r="DY345" s="145"/>
      <c r="DZ345" s="7"/>
      <c r="EA345" s="145"/>
      <c r="EB345" s="7"/>
      <c r="EC345" s="145"/>
      <c r="ED345" s="7"/>
      <c r="EE345" s="145"/>
      <c r="EF345" s="7"/>
    </row>
    <row r="346" spans="2:136" x14ac:dyDescent="0.2"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U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43"/>
      <c r="DP346" s="43"/>
      <c r="DQ346" s="43"/>
      <c r="DR346" s="43"/>
      <c r="DS346" s="43"/>
      <c r="DT346" s="43"/>
      <c r="DU346" s="43"/>
      <c r="DV346" s="43"/>
      <c r="DW346" s="43"/>
      <c r="DX346" s="7"/>
      <c r="DY346" s="145"/>
      <c r="DZ346" s="7"/>
      <c r="EA346" s="145"/>
      <c r="EB346" s="7"/>
      <c r="EC346" s="145"/>
      <c r="ED346" s="7"/>
      <c r="EE346" s="145"/>
      <c r="EF346" s="7"/>
    </row>
    <row r="347" spans="2:136" x14ac:dyDescent="0.2"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U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43"/>
      <c r="DP347" s="43"/>
      <c r="DQ347" s="43"/>
      <c r="DR347" s="43"/>
      <c r="DS347" s="43"/>
      <c r="DT347" s="43"/>
      <c r="DU347" s="43"/>
      <c r="DV347" s="43"/>
      <c r="DW347" s="43"/>
      <c r="DX347" s="7"/>
      <c r="DY347" s="145"/>
      <c r="DZ347" s="7"/>
      <c r="EA347" s="145"/>
      <c r="EB347" s="7"/>
      <c r="EC347" s="145"/>
      <c r="ED347" s="7"/>
      <c r="EE347" s="145"/>
      <c r="EF347" s="7"/>
    </row>
    <row r="348" spans="2:136" x14ac:dyDescent="0.2"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U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43"/>
      <c r="DP348" s="43"/>
      <c r="DQ348" s="43"/>
      <c r="DR348" s="43"/>
      <c r="DS348" s="43"/>
      <c r="DT348" s="43"/>
      <c r="DU348" s="43"/>
      <c r="DV348" s="43"/>
      <c r="DW348" s="43"/>
      <c r="DX348" s="7"/>
      <c r="DY348" s="145"/>
      <c r="DZ348" s="7"/>
      <c r="EA348" s="145"/>
      <c r="EB348" s="7"/>
      <c r="EC348" s="145"/>
      <c r="ED348" s="7"/>
      <c r="EE348" s="145"/>
      <c r="EF348" s="7"/>
    </row>
    <row r="349" spans="2:136" x14ac:dyDescent="0.2"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U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43"/>
      <c r="DP349" s="43"/>
      <c r="DQ349" s="43"/>
      <c r="DR349" s="43"/>
      <c r="DS349" s="43"/>
      <c r="DT349" s="43"/>
      <c r="DU349" s="43"/>
      <c r="DV349" s="43"/>
      <c r="DW349" s="43"/>
      <c r="DX349" s="7"/>
      <c r="DY349" s="145"/>
      <c r="DZ349" s="7"/>
      <c r="EA349" s="145"/>
      <c r="EB349" s="7"/>
      <c r="EC349" s="145"/>
      <c r="ED349" s="7"/>
      <c r="EE349" s="145"/>
      <c r="EF349" s="7"/>
    </row>
    <row r="350" spans="2:136" x14ac:dyDescent="0.2"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U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43"/>
      <c r="DP350" s="43"/>
      <c r="DQ350" s="43"/>
      <c r="DR350" s="43"/>
      <c r="DS350" s="43"/>
      <c r="DT350" s="43"/>
      <c r="DU350" s="43"/>
      <c r="DV350" s="43"/>
      <c r="DW350" s="43"/>
      <c r="DX350" s="7"/>
      <c r="DY350" s="145"/>
      <c r="DZ350" s="7"/>
      <c r="EA350" s="145"/>
      <c r="EB350" s="7"/>
      <c r="EC350" s="145"/>
      <c r="ED350" s="7"/>
      <c r="EE350" s="145"/>
      <c r="EF350" s="7"/>
    </row>
    <row r="351" spans="2:136" x14ac:dyDescent="0.2"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U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43"/>
      <c r="DP351" s="43"/>
      <c r="DQ351" s="43"/>
      <c r="DR351" s="43"/>
      <c r="DS351" s="43"/>
      <c r="DT351" s="43"/>
      <c r="DU351" s="43"/>
      <c r="DV351" s="43"/>
      <c r="DW351" s="43"/>
      <c r="DX351" s="7"/>
      <c r="DY351" s="145"/>
      <c r="DZ351" s="7"/>
      <c r="EA351" s="145"/>
      <c r="EB351" s="7"/>
      <c r="EC351" s="145"/>
      <c r="ED351" s="7"/>
      <c r="EE351" s="145"/>
      <c r="EF351" s="7"/>
    </row>
    <row r="352" spans="2:136" x14ac:dyDescent="0.2"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U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43"/>
      <c r="DP352" s="43"/>
      <c r="DQ352" s="43"/>
      <c r="DR352" s="43"/>
      <c r="DS352" s="43"/>
      <c r="DT352" s="43"/>
      <c r="DU352" s="43"/>
      <c r="DV352" s="43"/>
      <c r="DW352" s="43"/>
      <c r="DX352" s="7"/>
      <c r="DY352" s="145"/>
      <c r="DZ352" s="7"/>
      <c r="EA352" s="145"/>
      <c r="EB352" s="7"/>
      <c r="EC352" s="145"/>
      <c r="ED352" s="7"/>
      <c r="EE352" s="145"/>
      <c r="EF352" s="7"/>
    </row>
    <row r="353" spans="2:136" x14ac:dyDescent="0.2"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U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43"/>
      <c r="DP353" s="43"/>
      <c r="DQ353" s="43"/>
      <c r="DR353" s="43"/>
      <c r="DS353" s="43"/>
      <c r="DT353" s="43"/>
      <c r="DU353" s="43"/>
      <c r="DV353" s="43"/>
      <c r="DW353" s="43"/>
      <c r="DX353" s="7"/>
      <c r="DY353" s="145"/>
      <c r="DZ353" s="7"/>
      <c r="EA353" s="145"/>
      <c r="EB353" s="7"/>
      <c r="EC353" s="145"/>
      <c r="ED353" s="7"/>
      <c r="EE353" s="145"/>
      <c r="EF353" s="7"/>
    </row>
    <row r="354" spans="2:136" x14ac:dyDescent="0.2"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U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43"/>
      <c r="DP354" s="43"/>
      <c r="DQ354" s="43"/>
      <c r="DR354" s="43"/>
      <c r="DS354" s="43"/>
      <c r="DT354" s="43"/>
      <c r="DU354" s="43"/>
      <c r="DV354" s="43"/>
      <c r="DW354" s="43"/>
      <c r="DX354" s="7"/>
      <c r="DY354" s="145"/>
      <c r="DZ354" s="7"/>
      <c r="EA354" s="145"/>
      <c r="EB354" s="7"/>
      <c r="EC354" s="145"/>
      <c r="ED354" s="7"/>
      <c r="EE354" s="145"/>
      <c r="EF354" s="7"/>
    </row>
    <row r="355" spans="2:136" x14ac:dyDescent="0.2"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U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43"/>
      <c r="DP355" s="43"/>
      <c r="DQ355" s="43"/>
      <c r="DR355" s="43"/>
      <c r="DS355" s="43"/>
      <c r="DT355" s="43"/>
      <c r="DU355" s="43"/>
      <c r="DV355" s="43"/>
      <c r="DW355" s="43"/>
      <c r="DX355" s="7"/>
      <c r="DY355" s="145"/>
      <c r="DZ355" s="7"/>
      <c r="EA355" s="145"/>
      <c r="EB355" s="7"/>
      <c r="EC355" s="145"/>
      <c r="ED355" s="7"/>
      <c r="EE355" s="145"/>
      <c r="EF355" s="7"/>
    </row>
    <row r="356" spans="2:136" x14ac:dyDescent="0.2"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U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43"/>
      <c r="DP356" s="43"/>
      <c r="DQ356" s="43"/>
      <c r="DR356" s="43"/>
      <c r="DS356" s="43"/>
      <c r="DT356" s="43"/>
      <c r="DU356" s="43"/>
      <c r="DV356" s="43"/>
      <c r="DW356" s="43"/>
      <c r="DX356" s="7"/>
      <c r="DY356" s="145"/>
      <c r="DZ356" s="7"/>
      <c r="EA356" s="145"/>
      <c r="EB356" s="7"/>
      <c r="EC356" s="145"/>
      <c r="ED356" s="7"/>
      <c r="EE356" s="145"/>
      <c r="EF356" s="7"/>
    </row>
    <row r="357" spans="2:136" x14ac:dyDescent="0.2"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U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43"/>
      <c r="DP357" s="43"/>
      <c r="DQ357" s="43"/>
      <c r="DR357" s="43"/>
      <c r="DS357" s="43"/>
      <c r="DT357" s="43"/>
      <c r="DU357" s="43"/>
      <c r="DV357" s="43"/>
      <c r="DW357" s="43"/>
      <c r="DX357" s="7"/>
      <c r="DY357" s="145"/>
      <c r="DZ357" s="7"/>
      <c r="EA357" s="145"/>
      <c r="EB357" s="7"/>
      <c r="EC357" s="145"/>
      <c r="ED357" s="7"/>
      <c r="EE357" s="145"/>
      <c r="EF357" s="7"/>
    </row>
    <row r="358" spans="2:136" x14ac:dyDescent="0.2"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U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43"/>
      <c r="DP358" s="43"/>
      <c r="DQ358" s="43"/>
      <c r="DR358" s="43"/>
      <c r="DS358" s="43"/>
      <c r="DT358" s="43"/>
      <c r="DU358" s="43"/>
      <c r="DV358" s="43"/>
      <c r="DW358" s="43"/>
      <c r="DX358" s="7"/>
      <c r="DY358" s="145"/>
      <c r="DZ358" s="7"/>
      <c r="EA358" s="145"/>
      <c r="EB358" s="7"/>
      <c r="EC358" s="145"/>
      <c r="ED358" s="7"/>
      <c r="EE358" s="145"/>
      <c r="EF358" s="7"/>
    </row>
    <row r="359" spans="2:136" x14ac:dyDescent="0.2"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U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43"/>
      <c r="DP359" s="43"/>
      <c r="DQ359" s="43"/>
      <c r="DR359" s="43"/>
      <c r="DS359" s="43"/>
      <c r="DT359" s="43"/>
      <c r="DU359" s="43"/>
      <c r="DV359" s="43"/>
      <c r="DW359" s="43"/>
      <c r="DX359" s="7"/>
      <c r="DY359" s="145"/>
      <c r="DZ359" s="7"/>
      <c r="EA359" s="145"/>
      <c r="EB359" s="7"/>
      <c r="EC359" s="145"/>
      <c r="ED359" s="7"/>
      <c r="EE359" s="145"/>
      <c r="EF359" s="7"/>
    </row>
    <row r="360" spans="2:136" x14ac:dyDescent="0.2"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U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43"/>
      <c r="DP360" s="43"/>
      <c r="DQ360" s="43"/>
      <c r="DR360" s="43"/>
      <c r="DS360" s="43"/>
      <c r="DT360" s="43"/>
      <c r="DU360" s="43"/>
      <c r="DV360" s="43"/>
      <c r="DW360" s="43"/>
      <c r="DX360" s="7"/>
      <c r="DY360" s="145"/>
      <c r="DZ360" s="7"/>
      <c r="EA360" s="145"/>
      <c r="EB360" s="7"/>
      <c r="EC360" s="145"/>
      <c r="ED360" s="7"/>
      <c r="EE360" s="145"/>
      <c r="EF360" s="7"/>
    </row>
    <row r="361" spans="2:136" x14ac:dyDescent="0.2"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U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43"/>
      <c r="DP361" s="43"/>
      <c r="DQ361" s="43"/>
      <c r="DR361" s="43"/>
      <c r="DS361" s="43"/>
      <c r="DT361" s="43"/>
      <c r="DU361" s="43"/>
      <c r="DV361" s="43"/>
      <c r="DW361" s="43"/>
      <c r="DX361" s="7"/>
      <c r="DY361" s="145"/>
      <c r="DZ361" s="7"/>
      <c r="EA361" s="145"/>
      <c r="EB361" s="7"/>
      <c r="EC361" s="145"/>
      <c r="ED361" s="7"/>
      <c r="EE361" s="145"/>
      <c r="EF361" s="7"/>
    </row>
    <row r="362" spans="2:136" x14ac:dyDescent="0.2"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U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43"/>
      <c r="DP362" s="43"/>
      <c r="DQ362" s="43"/>
      <c r="DR362" s="43"/>
      <c r="DS362" s="43"/>
      <c r="DT362" s="43"/>
      <c r="DU362" s="43"/>
      <c r="DV362" s="43"/>
      <c r="DW362" s="43"/>
      <c r="DX362" s="7"/>
      <c r="DY362" s="145"/>
      <c r="DZ362" s="7"/>
      <c r="EA362" s="145"/>
      <c r="EB362" s="7"/>
      <c r="EC362" s="145"/>
      <c r="ED362" s="7"/>
      <c r="EE362" s="145"/>
      <c r="EF362" s="7"/>
    </row>
    <row r="363" spans="2:136" x14ac:dyDescent="0.2"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U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43"/>
      <c r="DP363" s="43"/>
      <c r="DQ363" s="43"/>
      <c r="DR363" s="43"/>
      <c r="DS363" s="43"/>
      <c r="DT363" s="43"/>
      <c r="DU363" s="43"/>
      <c r="DV363" s="43"/>
      <c r="DW363" s="43"/>
      <c r="DX363" s="7"/>
      <c r="DY363" s="145"/>
      <c r="DZ363" s="7"/>
      <c r="EA363" s="145"/>
      <c r="EB363" s="7"/>
      <c r="EC363" s="145"/>
      <c r="ED363" s="7"/>
      <c r="EE363" s="145"/>
      <c r="EF363" s="7"/>
    </row>
    <row r="364" spans="2:136" x14ac:dyDescent="0.2"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U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43"/>
      <c r="DP364" s="43"/>
      <c r="DQ364" s="43"/>
      <c r="DR364" s="43"/>
      <c r="DS364" s="43"/>
      <c r="DT364" s="43"/>
      <c r="DU364" s="43"/>
      <c r="DV364" s="43"/>
      <c r="DW364" s="43"/>
      <c r="DX364" s="7"/>
      <c r="DY364" s="145"/>
      <c r="DZ364" s="7"/>
      <c r="EA364" s="145"/>
      <c r="EB364" s="7"/>
      <c r="EC364" s="145"/>
      <c r="ED364" s="7"/>
      <c r="EE364" s="145"/>
      <c r="EF364" s="7"/>
    </row>
    <row r="365" spans="2:136" x14ac:dyDescent="0.2"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U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43"/>
      <c r="DP365" s="43"/>
      <c r="DQ365" s="43"/>
      <c r="DR365" s="43"/>
      <c r="DS365" s="43"/>
      <c r="DT365" s="43"/>
      <c r="DU365" s="43"/>
      <c r="DV365" s="43"/>
      <c r="DW365" s="43"/>
      <c r="DX365" s="7"/>
      <c r="DY365" s="145"/>
      <c r="DZ365" s="7"/>
      <c r="EA365" s="145"/>
      <c r="EB365" s="7"/>
      <c r="EC365" s="145"/>
      <c r="ED365" s="7"/>
      <c r="EE365" s="145"/>
      <c r="EF365" s="7"/>
    </row>
    <row r="366" spans="2:136" x14ac:dyDescent="0.2">
      <c r="B366" s="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U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43"/>
      <c r="DP366" s="43"/>
      <c r="DQ366" s="43"/>
      <c r="DR366" s="43"/>
      <c r="DS366" s="43"/>
      <c r="DT366" s="43"/>
      <c r="DU366" s="43"/>
      <c r="DV366" s="43"/>
      <c r="DW366" s="43"/>
      <c r="DX366" s="7"/>
      <c r="DY366" s="145"/>
      <c r="DZ366" s="7"/>
      <c r="EA366" s="145"/>
      <c r="EB366" s="7"/>
      <c r="EC366" s="145"/>
      <c r="ED366" s="7"/>
      <c r="EE366" s="145"/>
      <c r="EF366" s="7"/>
    </row>
    <row r="367" spans="2:136" x14ac:dyDescent="0.2">
      <c r="B367" s="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U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43"/>
      <c r="DP367" s="43"/>
      <c r="DQ367" s="43"/>
      <c r="DR367" s="43"/>
      <c r="DS367" s="43"/>
      <c r="DT367" s="43"/>
      <c r="DU367" s="43"/>
      <c r="DV367" s="43"/>
      <c r="DW367" s="43"/>
      <c r="DX367" s="7"/>
      <c r="DY367" s="145"/>
      <c r="DZ367" s="7"/>
      <c r="EA367" s="145"/>
      <c r="EB367" s="7"/>
      <c r="EC367" s="145"/>
      <c r="ED367" s="7"/>
      <c r="EE367" s="145"/>
      <c r="EF367" s="7"/>
    </row>
    <row r="368" spans="2:136" x14ac:dyDescent="0.2">
      <c r="B368" s="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U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43"/>
      <c r="DP368" s="43"/>
      <c r="DQ368" s="43"/>
      <c r="DR368" s="43"/>
      <c r="DS368" s="43"/>
      <c r="DT368" s="43"/>
      <c r="DU368" s="43"/>
      <c r="DV368" s="43"/>
      <c r="DW368" s="43"/>
      <c r="DX368" s="7"/>
      <c r="DY368" s="145"/>
      <c r="DZ368" s="7"/>
      <c r="EA368" s="145"/>
      <c r="EB368" s="7"/>
      <c r="EC368" s="145"/>
      <c r="ED368" s="7"/>
      <c r="EE368" s="145"/>
      <c r="EF368" s="7"/>
    </row>
    <row r="369" spans="2:136" x14ac:dyDescent="0.2">
      <c r="B369" s="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U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43"/>
      <c r="DP369" s="43"/>
      <c r="DQ369" s="43"/>
      <c r="DR369" s="43"/>
      <c r="DS369" s="43"/>
      <c r="DT369" s="43"/>
      <c r="DU369" s="43"/>
      <c r="DV369" s="43"/>
      <c r="DW369" s="43"/>
      <c r="DX369" s="7"/>
      <c r="DY369" s="145"/>
      <c r="DZ369" s="7"/>
      <c r="EA369" s="145"/>
      <c r="EB369" s="7"/>
      <c r="EC369" s="145"/>
      <c r="ED369" s="7"/>
      <c r="EE369" s="145"/>
      <c r="EF369" s="7"/>
    </row>
    <row r="370" spans="2:136" x14ac:dyDescent="0.2">
      <c r="B370" s="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U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43"/>
      <c r="DP370" s="43"/>
      <c r="DQ370" s="43"/>
      <c r="DR370" s="43"/>
      <c r="DS370" s="43"/>
      <c r="DT370" s="43"/>
      <c r="DU370" s="43"/>
      <c r="DV370" s="43"/>
      <c r="DW370" s="43"/>
      <c r="DX370" s="7"/>
      <c r="DY370" s="145"/>
      <c r="DZ370" s="7"/>
      <c r="EA370" s="145"/>
      <c r="EB370" s="7"/>
      <c r="EC370" s="145"/>
      <c r="ED370" s="7"/>
      <c r="EE370" s="145"/>
      <c r="EF370" s="7"/>
    </row>
    <row r="371" spans="2:136" x14ac:dyDescent="0.2">
      <c r="B371" s="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U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43"/>
      <c r="DP371" s="43"/>
      <c r="DQ371" s="43"/>
      <c r="DR371" s="43"/>
      <c r="DS371" s="43"/>
      <c r="DT371" s="43"/>
      <c r="DU371" s="43"/>
      <c r="DV371" s="43"/>
      <c r="DW371" s="43"/>
      <c r="DX371" s="7"/>
      <c r="DY371" s="145"/>
      <c r="DZ371" s="7"/>
      <c r="EA371" s="145"/>
      <c r="EB371" s="7"/>
      <c r="EC371" s="145"/>
      <c r="ED371" s="7"/>
      <c r="EE371" s="145"/>
      <c r="EF371" s="7"/>
    </row>
    <row r="372" spans="2:136" x14ac:dyDescent="0.2">
      <c r="B372" s="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U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43"/>
      <c r="DP372" s="43"/>
      <c r="DQ372" s="43"/>
      <c r="DR372" s="43"/>
      <c r="DS372" s="43"/>
      <c r="DT372" s="43"/>
      <c r="DU372" s="43"/>
      <c r="DV372" s="43"/>
      <c r="DW372" s="43"/>
      <c r="DX372" s="7"/>
      <c r="DY372" s="145"/>
      <c r="DZ372" s="7"/>
      <c r="EA372" s="145"/>
      <c r="EB372" s="7"/>
      <c r="EC372" s="145"/>
      <c r="ED372" s="7"/>
      <c r="EE372" s="145"/>
      <c r="EF372" s="7"/>
    </row>
    <row r="373" spans="2:136" x14ac:dyDescent="0.2">
      <c r="B373" s="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U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43"/>
      <c r="DP373" s="43"/>
      <c r="DQ373" s="43"/>
      <c r="DR373" s="43"/>
      <c r="DS373" s="43"/>
      <c r="DT373" s="43"/>
      <c r="DU373" s="43"/>
      <c r="DV373" s="43"/>
      <c r="DW373" s="43"/>
      <c r="DX373" s="7"/>
      <c r="DY373" s="145"/>
      <c r="DZ373" s="7"/>
      <c r="EA373" s="145"/>
      <c r="EB373" s="7"/>
      <c r="EC373" s="145"/>
      <c r="ED373" s="7"/>
      <c r="EE373" s="145"/>
      <c r="EF373" s="7"/>
    </row>
    <row r="374" spans="2:136" x14ac:dyDescent="0.2">
      <c r="B374" s="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U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43"/>
      <c r="DP374" s="43"/>
      <c r="DQ374" s="43"/>
      <c r="DR374" s="43"/>
      <c r="DS374" s="43"/>
      <c r="DT374" s="43"/>
      <c r="DU374" s="43"/>
      <c r="DV374" s="43"/>
      <c r="DW374" s="43"/>
      <c r="DX374" s="7"/>
      <c r="DY374" s="145"/>
      <c r="DZ374" s="7"/>
      <c r="EA374" s="145"/>
      <c r="EB374" s="7"/>
      <c r="EC374" s="145"/>
      <c r="ED374" s="7"/>
      <c r="EE374" s="145"/>
      <c r="EF374" s="7"/>
    </row>
    <row r="375" spans="2:136" x14ac:dyDescent="0.2">
      <c r="B375" s="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U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43"/>
      <c r="DP375" s="43"/>
      <c r="DQ375" s="43"/>
      <c r="DR375" s="43"/>
      <c r="DS375" s="43"/>
      <c r="DT375" s="43"/>
      <c r="DU375" s="43"/>
      <c r="DV375" s="43"/>
      <c r="DW375" s="43"/>
      <c r="DX375" s="7"/>
      <c r="DY375" s="145"/>
      <c r="DZ375" s="7"/>
      <c r="EA375" s="145"/>
      <c r="EB375" s="7"/>
      <c r="EC375" s="145"/>
      <c r="ED375" s="7"/>
      <c r="EE375" s="145"/>
      <c r="EF375" s="7"/>
    </row>
    <row r="376" spans="2:136" x14ac:dyDescent="0.2">
      <c r="B376" s="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U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43"/>
      <c r="DP376" s="43"/>
      <c r="DQ376" s="43"/>
      <c r="DR376" s="43"/>
      <c r="DS376" s="43"/>
      <c r="DT376" s="43"/>
      <c r="DU376" s="43"/>
      <c r="DV376" s="43"/>
      <c r="DW376" s="43"/>
      <c r="DX376" s="7"/>
      <c r="DY376" s="145"/>
      <c r="DZ376" s="7"/>
      <c r="EA376" s="145"/>
      <c r="EB376" s="7"/>
      <c r="EC376" s="145"/>
      <c r="ED376" s="7"/>
      <c r="EE376" s="145"/>
      <c r="EF376" s="7"/>
    </row>
    <row r="377" spans="2:136" x14ac:dyDescent="0.2">
      <c r="B377" s="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U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43"/>
      <c r="DP377" s="43"/>
      <c r="DQ377" s="43"/>
      <c r="DR377" s="43"/>
      <c r="DS377" s="43"/>
      <c r="DT377" s="43"/>
      <c r="DU377" s="43"/>
      <c r="DV377" s="43"/>
      <c r="DW377" s="43"/>
      <c r="DX377" s="7"/>
      <c r="DY377" s="145"/>
      <c r="DZ377" s="7"/>
      <c r="EA377" s="145"/>
      <c r="EB377" s="7"/>
      <c r="EC377" s="145"/>
      <c r="ED377" s="7"/>
      <c r="EE377" s="145"/>
      <c r="EF377" s="7"/>
    </row>
    <row r="378" spans="2:136" x14ac:dyDescent="0.2">
      <c r="B378" s="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U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43"/>
      <c r="DP378" s="43"/>
      <c r="DQ378" s="43"/>
      <c r="DR378" s="43"/>
      <c r="DS378" s="43"/>
      <c r="DT378" s="43"/>
      <c r="DU378" s="43"/>
      <c r="DV378" s="43"/>
      <c r="DW378" s="43"/>
      <c r="DX378" s="7"/>
      <c r="DY378" s="145"/>
      <c r="DZ378" s="7"/>
      <c r="EA378" s="145"/>
      <c r="EB378" s="7"/>
      <c r="EC378" s="145"/>
      <c r="ED378" s="7"/>
      <c r="EE378" s="145"/>
      <c r="EF378" s="7"/>
    </row>
    <row r="379" spans="2:136" x14ac:dyDescent="0.2">
      <c r="B379" s="7"/>
      <c r="D379" s="13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U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43"/>
      <c r="DP379" s="43"/>
      <c r="DQ379" s="43"/>
      <c r="DR379" s="43"/>
      <c r="DS379" s="43"/>
      <c r="DT379" s="43"/>
      <c r="DU379" s="43"/>
      <c r="DV379" s="43"/>
      <c r="DW379" s="43"/>
      <c r="DX379" s="7"/>
      <c r="DY379" s="145"/>
      <c r="DZ379" s="7"/>
      <c r="EA379" s="145"/>
      <c r="EB379" s="7"/>
      <c r="EC379" s="145"/>
      <c r="ED379" s="7"/>
      <c r="EE379" s="145"/>
      <c r="EF379" s="7"/>
    </row>
    <row r="380" spans="2:136" x14ac:dyDescent="0.2">
      <c r="B380" s="7"/>
      <c r="D380" s="13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U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43"/>
      <c r="DP380" s="43"/>
      <c r="DQ380" s="43"/>
      <c r="DR380" s="43"/>
      <c r="DS380" s="43"/>
      <c r="DT380" s="43"/>
      <c r="DU380" s="43"/>
      <c r="DV380" s="43"/>
      <c r="DW380" s="43"/>
      <c r="DX380" s="7"/>
      <c r="DY380" s="145"/>
      <c r="DZ380" s="7"/>
      <c r="EA380" s="145"/>
      <c r="EB380" s="7"/>
      <c r="EC380" s="145"/>
      <c r="ED380" s="7"/>
      <c r="EE380" s="145"/>
      <c r="EF380" s="7"/>
    </row>
    <row r="381" spans="2:136" x14ac:dyDescent="0.2">
      <c r="B381" s="7"/>
      <c r="D381" s="13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U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43"/>
      <c r="DP381" s="43"/>
      <c r="DQ381" s="43"/>
      <c r="DR381" s="43"/>
      <c r="DS381" s="43"/>
      <c r="DT381" s="43"/>
      <c r="DU381" s="43"/>
      <c r="DV381" s="43"/>
      <c r="DW381" s="43"/>
      <c r="DX381" s="7"/>
      <c r="DY381" s="145"/>
      <c r="DZ381" s="7"/>
      <c r="EA381" s="145"/>
      <c r="EB381" s="7"/>
      <c r="EC381" s="145"/>
      <c r="ED381" s="7"/>
      <c r="EE381" s="145"/>
      <c r="EF381" s="7"/>
    </row>
    <row r="382" spans="2:136" x14ac:dyDescent="0.2">
      <c r="B382" s="7"/>
      <c r="D382" s="13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U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43"/>
      <c r="DP382" s="43"/>
      <c r="DQ382" s="43"/>
      <c r="DR382" s="43"/>
      <c r="DS382" s="43"/>
      <c r="DT382" s="43"/>
      <c r="DU382" s="43"/>
      <c r="DV382" s="43"/>
      <c r="DW382" s="43"/>
      <c r="DX382" s="7"/>
      <c r="DY382" s="145"/>
      <c r="DZ382" s="7"/>
      <c r="EA382" s="145"/>
      <c r="EB382" s="7"/>
      <c r="EC382" s="145"/>
      <c r="ED382" s="7"/>
      <c r="EE382" s="145"/>
      <c r="EF382" s="7"/>
    </row>
    <row r="383" spans="2:136" x14ac:dyDescent="0.2">
      <c r="B383" s="7"/>
      <c r="D383" s="13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U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43"/>
      <c r="DP383" s="43"/>
      <c r="DQ383" s="43"/>
      <c r="DR383" s="43"/>
      <c r="DS383" s="43"/>
      <c r="DT383" s="43"/>
      <c r="DU383" s="43"/>
      <c r="DV383" s="43"/>
      <c r="DW383" s="43"/>
      <c r="DX383" s="7"/>
      <c r="DY383" s="145"/>
      <c r="DZ383" s="7"/>
      <c r="EA383" s="145"/>
      <c r="EB383" s="7"/>
      <c r="EC383" s="145"/>
      <c r="ED383" s="7"/>
      <c r="EE383" s="145"/>
      <c r="EF383" s="7"/>
    </row>
    <row r="384" spans="2:136" x14ac:dyDescent="0.2">
      <c r="B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U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43"/>
      <c r="DP384" s="43"/>
      <c r="DQ384" s="43"/>
      <c r="DR384" s="43"/>
      <c r="DS384" s="43"/>
      <c r="DT384" s="43"/>
      <c r="DU384" s="43"/>
      <c r="DV384" s="43"/>
      <c r="DW384" s="43"/>
      <c r="DX384" s="7"/>
      <c r="DY384" s="145"/>
      <c r="DZ384" s="7"/>
      <c r="EA384" s="145"/>
      <c r="EB384" s="7"/>
      <c r="EC384" s="145"/>
      <c r="ED384" s="7"/>
      <c r="EE384" s="145"/>
      <c r="EF384" s="7"/>
    </row>
    <row r="385" spans="2:136" x14ac:dyDescent="0.2">
      <c r="B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U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43"/>
      <c r="DP385" s="43"/>
      <c r="DQ385" s="43"/>
      <c r="DR385" s="43"/>
      <c r="DS385" s="43"/>
      <c r="DT385" s="43"/>
      <c r="DU385" s="43"/>
      <c r="DV385" s="43"/>
      <c r="DW385" s="43"/>
      <c r="DX385" s="7"/>
      <c r="DY385" s="145"/>
      <c r="DZ385" s="7"/>
      <c r="EA385" s="145"/>
      <c r="EB385" s="7"/>
      <c r="EC385" s="145"/>
      <c r="ED385" s="7"/>
      <c r="EE385" s="145"/>
      <c r="EF385" s="7"/>
    </row>
    <row r="386" spans="2:136" x14ac:dyDescent="0.2">
      <c r="B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U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43"/>
      <c r="DP386" s="43"/>
      <c r="DQ386" s="43"/>
      <c r="DR386" s="43"/>
      <c r="DS386" s="43"/>
      <c r="DT386" s="43"/>
      <c r="DU386" s="43"/>
      <c r="DV386" s="43"/>
      <c r="DW386" s="43"/>
      <c r="DX386" s="7"/>
      <c r="DY386" s="145"/>
      <c r="DZ386" s="7"/>
      <c r="EA386" s="145"/>
      <c r="EB386" s="7"/>
      <c r="EC386" s="145"/>
      <c r="ED386" s="7"/>
      <c r="EE386" s="145"/>
      <c r="EF386" s="7"/>
    </row>
    <row r="387" spans="2:136" x14ac:dyDescent="0.2">
      <c r="B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U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43"/>
      <c r="DP387" s="43"/>
      <c r="DQ387" s="43"/>
      <c r="DR387" s="43"/>
      <c r="DS387" s="43"/>
      <c r="DT387" s="43"/>
      <c r="DU387" s="43"/>
      <c r="DV387" s="43"/>
      <c r="DW387" s="43"/>
      <c r="DX387" s="7"/>
      <c r="DY387" s="145"/>
      <c r="DZ387" s="7"/>
      <c r="EA387" s="145"/>
      <c r="EB387" s="7"/>
      <c r="EC387" s="145"/>
      <c r="ED387" s="7"/>
      <c r="EE387" s="145"/>
      <c r="EF387" s="7"/>
    </row>
    <row r="388" spans="2:136" x14ac:dyDescent="0.2">
      <c r="B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U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43"/>
      <c r="DP388" s="43"/>
      <c r="DQ388" s="43"/>
      <c r="DR388" s="43"/>
      <c r="DS388" s="43"/>
      <c r="DT388" s="43"/>
      <c r="DU388" s="43"/>
      <c r="DV388" s="43"/>
      <c r="DW388" s="43"/>
      <c r="DX388" s="7"/>
      <c r="DY388" s="145"/>
      <c r="DZ388" s="7"/>
      <c r="EA388" s="145"/>
      <c r="EB388" s="7"/>
      <c r="EC388" s="145"/>
      <c r="ED388" s="7"/>
      <c r="EE388" s="145"/>
      <c r="EF388" s="7"/>
    </row>
    <row r="389" spans="2:136" x14ac:dyDescent="0.2">
      <c r="B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U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43"/>
      <c r="DP389" s="43"/>
      <c r="DQ389" s="43"/>
      <c r="DR389" s="43"/>
      <c r="DS389" s="43"/>
      <c r="DT389" s="43"/>
      <c r="DU389" s="43"/>
      <c r="DV389" s="43"/>
      <c r="DW389" s="43"/>
      <c r="DX389" s="7"/>
      <c r="DY389" s="145"/>
      <c r="DZ389" s="7"/>
      <c r="EA389" s="145"/>
      <c r="EB389" s="7"/>
      <c r="EC389" s="145"/>
      <c r="ED389" s="7"/>
      <c r="EE389" s="145"/>
      <c r="EF389" s="7"/>
    </row>
    <row r="390" spans="2:136" x14ac:dyDescent="0.2">
      <c r="B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U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43"/>
      <c r="DP390" s="43"/>
      <c r="DQ390" s="43"/>
      <c r="DR390" s="43"/>
      <c r="DS390" s="43"/>
      <c r="DT390" s="43"/>
      <c r="DU390" s="43"/>
      <c r="DV390" s="43"/>
      <c r="DW390" s="43"/>
      <c r="DX390" s="7"/>
      <c r="DY390" s="145"/>
      <c r="DZ390" s="7"/>
      <c r="EA390" s="145"/>
      <c r="EB390" s="7"/>
      <c r="EC390" s="145"/>
      <c r="ED390" s="7"/>
      <c r="EE390" s="145"/>
      <c r="EF390" s="7"/>
    </row>
    <row r="391" spans="2:136" x14ac:dyDescent="0.2">
      <c r="B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U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43"/>
      <c r="DP391" s="43"/>
      <c r="DQ391" s="43"/>
      <c r="DR391" s="43"/>
      <c r="DS391" s="43"/>
      <c r="DT391" s="43"/>
      <c r="DU391" s="43"/>
      <c r="DV391" s="43"/>
      <c r="DW391" s="43"/>
      <c r="DX391" s="7"/>
      <c r="DY391" s="145"/>
      <c r="DZ391" s="7"/>
      <c r="EA391" s="145"/>
      <c r="EB391" s="7"/>
      <c r="EC391" s="145"/>
      <c r="ED391" s="7"/>
      <c r="EE391" s="145"/>
      <c r="EF391" s="7"/>
    </row>
    <row r="392" spans="2:136" x14ac:dyDescent="0.2">
      <c r="B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U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43"/>
      <c r="DP392" s="43"/>
      <c r="DQ392" s="43"/>
      <c r="DR392" s="43"/>
      <c r="DS392" s="43"/>
      <c r="DT392" s="43"/>
      <c r="DU392" s="43"/>
      <c r="DV392" s="43"/>
      <c r="DW392" s="43"/>
      <c r="DX392" s="7"/>
      <c r="DY392" s="145"/>
      <c r="DZ392" s="7"/>
      <c r="EA392" s="145"/>
      <c r="EB392" s="7"/>
      <c r="EC392" s="145"/>
      <c r="ED392" s="7"/>
      <c r="EE392" s="145"/>
      <c r="EF392" s="7"/>
    </row>
    <row r="393" spans="2:136" x14ac:dyDescent="0.2">
      <c r="B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U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43"/>
      <c r="DP393" s="43"/>
      <c r="DQ393" s="43"/>
      <c r="DR393" s="43"/>
      <c r="DS393" s="43"/>
      <c r="DT393" s="43"/>
      <c r="DU393" s="43"/>
      <c r="DV393" s="43"/>
      <c r="DW393" s="43"/>
      <c r="DX393" s="7"/>
      <c r="DY393" s="145"/>
      <c r="DZ393" s="7"/>
      <c r="EA393" s="145"/>
      <c r="EB393" s="7"/>
      <c r="EC393" s="145"/>
      <c r="ED393" s="7"/>
      <c r="EE393" s="145"/>
      <c r="EF393" s="7"/>
    </row>
    <row r="394" spans="2:136" x14ac:dyDescent="0.2">
      <c r="B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U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43"/>
      <c r="DP394" s="43"/>
      <c r="DQ394" s="43"/>
      <c r="DR394" s="43"/>
      <c r="DS394" s="43"/>
      <c r="DT394" s="43"/>
      <c r="DU394" s="43"/>
      <c r="DV394" s="43"/>
      <c r="DW394" s="43"/>
      <c r="DX394" s="7"/>
      <c r="DY394" s="145"/>
      <c r="DZ394" s="7"/>
      <c r="EA394" s="145"/>
      <c r="EB394" s="7"/>
      <c r="EC394" s="145"/>
      <c r="ED394" s="7"/>
      <c r="EE394" s="145"/>
      <c r="EF394" s="7"/>
    </row>
    <row r="395" spans="2:136" x14ac:dyDescent="0.2">
      <c r="B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U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43"/>
      <c r="DP395" s="43"/>
      <c r="DQ395" s="43"/>
      <c r="DR395" s="43"/>
      <c r="DS395" s="43"/>
      <c r="DT395" s="43"/>
      <c r="DU395" s="43"/>
      <c r="DV395" s="43"/>
      <c r="DW395" s="43"/>
      <c r="DX395" s="7"/>
      <c r="DY395" s="145"/>
      <c r="DZ395" s="7"/>
      <c r="EA395" s="145"/>
      <c r="EB395" s="7"/>
      <c r="EC395" s="145"/>
      <c r="ED395" s="7"/>
      <c r="EE395" s="145"/>
      <c r="EF395" s="7"/>
    </row>
    <row r="396" spans="2:136" x14ac:dyDescent="0.2">
      <c r="B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U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43"/>
      <c r="DP396" s="43"/>
      <c r="DQ396" s="43"/>
      <c r="DR396" s="43"/>
      <c r="DS396" s="43"/>
      <c r="DT396" s="43"/>
      <c r="DU396" s="43"/>
      <c r="DV396" s="43"/>
      <c r="DW396" s="43"/>
      <c r="DX396" s="7"/>
      <c r="DY396" s="145"/>
      <c r="DZ396" s="7"/>
      <c r="EA396" s="145"/>
      <c r="EB396" s="7"/>
      <c r="EC396" s="145"/>
      <c r="ED396" s="7"/>
      <c r="EE396" s="145"/>
      <c r="EF396" s="7"/>
    </row>
    <row r="397" spans="2:136" x14ac:dyDescent="0.2">
      <c r="B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U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43"/>
      <c r="DP397" s="43"/>
      <c r="DQ397" s="43"/>
      <c r="DR397" s="43"/>
      <c r="DS397" s="43"/>
      <c r="DT397" s="43"/>
      <c r="DU397" s="43"/>
      <c r="DV397" s="43"/>
      <c r="DW397" s="43"/>
      <c r="DX397" s="7"/>
      <c r="DY397" s="145"/>
      <c r="DZ397" s="7"/>
      <c r="EA397" s="145"/>
      <c r="EB397" s="7"/>
      <c r="EC397" s="145"/>
      <c r="ED397" s="7"/>
      <c r="EE397" s="145"/>
      <c r="EF397" s="7"/>
    </row>
    <row r="398" spans="2:136" x14ac:dyDescent="0.2">
      <c r="B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U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43"/>
      <c r="DP398" s="43"/>
      <c r="DQ398" s="43"/>
      <c r="DR398" s="43"/>
      <c r="DS398" s="43"/>
      <c r="DT398" s="43"/>
      <c r="DU398" s="43"/>
      <c r="DV398" s="43"/>
      <c r="DW398" s="43"/>
      <c r="DX398" s="7"/>
      <c r="DY398" s="145"/>
      <c r="DZ398" s="7"/>
      <c r="EA398" s="145"/>
      <c r="EB398" s="7"/>
      <c r="EC398" s="145"/>
      <c r="ED398" s="7"/>
      <c r="EE398" s="145"/>
      <c r="EF398" s="7"/>
    </row>
    <row r="399" spans="2:136" x14ac:dyDescent="0.2">
      <c r="B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U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43"/>
      <c r="DP399" s="43"/>
      <c r="DQ399" s="43"/>
      <c r="DR399" s="43"/>
      <c r="DS399" s="43"/>
      <c r="DT399" s="43"/>
      <c r="DU399" s="43"/>
      <c r="DV399" s="43"/>
      <c r="DW399" s="43"/>
      <c r="DX399" s="7"/>
      <c r="DY399" s="145"/>
      <c r="DZ399" s="7"/>
      <c r="EA399" s="145"/>
      <c r="EB399" s="7"/>
      <c r="EC399" s="145"/>
      <c r="ED399" s="7"/>
      <c r="EE399" s="145"/>
      <c r="EF399" s="7"/>
    </row>
    <row r="400" spans="2:136" x14ac:dyDescent="0.2">
      <c r="B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U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43"/>
      <c r="DP400" s="43"/>
      <c r="DQ400" s="43"/>
      <c r="DR400" s="43"/>
      <c r="DS400" s="43"/>
      <c r="DT400" s="43"/>
      <c r="DU400" s="43"/>
      <c r="DV400" s="43"/>
      <c r="DW400" s="43"/>
      <c r="DX400" s="7"/>
      <c r="DY400" s="145"/>
      <c r="DZ400" s="7"/>
      <c r="EA400" s="145"/>
      <c r="EB400" s="7"/>
      <c r="EC400" s="145"/>
      <c r="ED400" s="7"/>
      <c r="EE400" s="145"/>
      <c r="EF400" s="7"/>
    </row>
    <row r="401" spans="2:136" x14ac:dyDescent="0.2">
      <c r="B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U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43"/>
      <c r="DP401" s="43"/>
      <c r="DQ401" s="43"/>
      <c r="DR401" s="43"/>
      <c r="DS401" s="43"/>
      <c r="DT401" s="43"/>
      <c r="DU401" s="43"/>
      <c r="DV401" s="43"/>
      <c r="DW401" s="43"/>
      <c r="DX401" s="7"/>
      <c r="DY401" s="145"/>
      <c r="DZ401" s="7"/>
      <c r="EA401" s="145"/>
      <c r="EB401" s="7"/>
      <c r="EC401" s="145"/>
      <c r="ED401" s="7"/>
      <c r="EE401" s="145"/>
      <c r="EF401" s="7"/>
    </row>
    <row r="402" spans="2:136" x14ac:dyDescent="0.2">
      <c r="B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U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43"/>
      <c r="DP402" s="43"/>
      <c r="DQ402" s="43"/>
      <c r="DR402" s="43"/>
      <c r="DS402" s="43"/>
      <c r="DT402" s="43"/>
      <c r="DU402" s="43"/>
      <c r="DV402" s="43"/>
      <c r="DW402" s="43"/>
      <c r="DX402" s="7"/>
      <c r="DY402" s="145"/>
      <c r="DZ402" s="7"/>
      <c r="EA402" s="145"/>
      <c r="EB402" s="7"/>
      <c r="EC402" s="145"/>
      <c r="ED402" s="7"/>
      <c r="EE402" s="145"/>
      <c r="EF402" s="7"/>
    </row>
    <row r="403" spans="2:136" x14ac:dyDescent="0.2">
      <c r="B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U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43"/>
      <c r="DP403" s="43"/>
      <c r="DQ403" s="43"/>
      <c r="DR403" s="43"/>
      <c r="DS403" s="43"/>
      <c r="DT403" s="43"/>
      <c r="DU403" s="43"/>
      <c r="DV403" s="43"/>
      <c r="DW403" s="43"/>
      <c r="DX403" s="7"/>
      <c r="DY403" s="145"/>
      <c r="DZ403" s="7"/>
      <c r="EA403" s="145"/>
      <c r="EB403" s="7"/>
      <c r="EC403" s="145"/>
      <c r="ED403" s="7"/>
      <c r="EE403" s="145"/>
      <c r="EF403" s="7"/>
    </row>
    <row r="404" spans="2:136" x14ac:dyDescent="0.2">
      <c r="B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U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43"/>
      <c r="DP404" s="43"/>
      <c r="DQ404" s="43"/>
      <c r="DR404" s="43"/>
      <c r="DS404" s="43"/>
      <c r="DT404" s="43"/>
      <c r="DU404" s="43"/>
      <c r="DV404" s="43"/>
      <c r="DW404" s="43"/>
      <c r="DX404" s="7"/>
      <c r="DY404" s="145"/>
      <c r="DZ404" s="7"/>
      <c r="EA404" s="145"/>
      <c r="EB404" s="7"/>
      <c r="EC404" s="145"/>
      <c r="ED404" s="7"/>
      <c r="EE404" s="145"/>
      <c r="EF404" s="7"/>
    </row>
    <row r="405" spans="2:136" x14ac:dyDescent="0.2">
      <c r="B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U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43"/>
      <c r="DP405" s="43"/>
      <c r="DQ405" s="43"/>
      <c r="DR405" s="43"/>
      <c r="DS405" s="43"/>
      <c r="DT405" s="43"/>
      <c r="DU405" s="43"/>
      <c r="DV405" s="43"/>
      <c r="DW405" s="43"/>
      <c r="DX405" s="7"/>
      <c r="DY405" s="145"/>
      <c r="DZ405" s="7"/>
      <c r="EA405" s="145"/>
      <c r="EB405" s="7"/>
      <c r="EC405" s="145"/>
      <c r="ED405" s="7"/>
      <c r="EE405" s="145"/>
      <c r="EF405" s="7"/>
    </row>
    <row r="406" spans="2:136" x14ac:dyDescent="0.2">
      <c r="B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U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43"/>
      <c r="DP406" s="43"/>
      <c r="DQ406" s="43"/>
      <c r="DR406" s="43"/>
      <c r="DS406" s="43"/>
      <c r="DT406" s="43"/>
      <c r="DU406" s="43"/>
      <c r="DV406" s="43"/>
      <c r="DW406" s="43"/>
      <c r="DX406" s="7"/>
      <c r="DY406" s="145"/>
      <c r="DZ406" s="7"/>
      <c r="EA406" s="145"/>
      <c r="EB406" s="7"/>
      <c r="EC406" s="145"/>
      <c r="ED406" s="7"/>
      <c r="EE406" s="145"/>
      <c r="EF406" s="7"/>
    </row>
    <row r="407" spans="2:136" x14ac:dyDescent="0.2">
      <c r="B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U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43"/>
      <c r="DP407" s="43"/>
      <c r="DQ407" s="43"/>
      <c r="DR407" s="43"/>
      <c r="DS407" s="43"/>
      <c r="DT407" s="43"/>
      <c r="DU407" s="43"/>
      <c r="DV407" s="43"/>
      <c r="DW407" s="43"/>
      <c r="DX407" s="7"/>
      <c r="DY407" s="145"/>
      <c r="DZ407" s="7"/>
      <c r="EA407" s="145"/>
      <c r="EB407" s="7"/>
      <c r="EC407" s="145"/>
      <c r="ED407" s="7"/>
      <c r="EE407" s="145"/>
      <c r="EF407" s="7"/>
    </row>
    <row r="408" spans="2:136" x14ac:dyDescent="0.2">
      <c r="B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U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43"/>
      <c r="DP408" s="43"/>
      <c r="DQ408" s="43"/>
      <c r="DR408" s="43"/>
      <c r="DS408" s="43"/>
      <c r="DT408" s="43"/>
      <c r="DU408" s="43"/>
      <c r="DV408" s="43"/>
      <c r="DW408" s="43"/>
      <c r="DX408" s="7"/>
      <c r="DY408" s="145"/>
      <c r="DZ408" s="7"/>
      <c r="EA408" s="145"/>
      <c r="EB408" s="7"/>
      <c r="EC408" s="145"/>
      <c r="ED408" s="7"/>
      <c r="EE408" s="145"/>
      <c r="EF408" s="7"/>
    </row>
    <row r="409" spans="2:136" x14ac:dyDescent="0.2">
      <c r="B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U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43"/>
      <c r="DP409" s="43"/>
      <c r="DQ409" s="43"/>
      <c r="DR409" s="43"/>
      <c r="DS409" s="43"/>
      <c r="DT409" s="43"/>
      <c r="DU409" s="43"/>
      <c r="DV409" s="43"/>
      <c r="DW409" s="43"/>
      <c r="DX409" s="7"/>
      <c r="DY409" s="145"/>
      <c r="DZ409" s="7"/>
      <c r="EA409" s="145"/>
      <c r="EB409" s="7"/>
      <c r="EC409" s="145"/>
      <c r="ED409" s="7"/>
      <c r="EE409" s="145"/>
      <c r="EF409" s="7"/>
    </row>
    <row r="410" spans="2:136" x14ac:dyDescent="0.2">
      <c r="B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U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43"/>
      <c r="DP410" s="43"/>
      <c r="DQ410" s="43"/>
      <c r="DR410" s="43"/>
      <c r="DS410" s="43"/>
      <c r="DT410" s="43"/>
      <c r="DU410" s="43"/>
      <c r="DV410" s="43"/>
      <c r="DW410" s="43"/>
      <c r="DX410" s="7"/>
      <c r="DY410" s="145"/>
      <c r="DZ410" s="7"/>
      <c r="EA410" s="145"/>
      <c r="EB410" s="7"/>
      <c r="EC410" s="145"/>
      <c r="ED410" s="7"/>
      <c r="EE410" s="145"/>
      <c r="EF410" s="7"/>
    </row>
    <row r="411" spans="2:136" x14ac:dyDescent="0.2">
      <c r="B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U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43"/>
      <c r="DP411" s="43"/>
      <c r="DQ411" s="43"/>
      <c r="DR411" s="43"/>
      <c r="DS411" s="43"/>
      <c r="DT411" s="43"/>
      <c r="DU411" s="43"/>
      <c r="DV411" s="43"/>
      <c r="DW411" s="43"/>
      <c r="DX411" s="7"/>
      <c r="DY411" s="145"/>
      <c r="DZ411" s="7"/>
      <c r="EA411" s="145"/>
      <c r="EB411" s="7"/>
      <c r="EC411" s="145"/>
      <c r="ED411" s="7"/>
      <c r="EE411" s="145"/>
      <c r="EF411" s="7"/>
    </row>
    <row r="412" spans="2:136" x14ac:dyDescent="0.2">
      <c r="B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U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43"/>
      <c r="DP412" s="43"/>
      <c r="DQ412" s="43"/>
      <c r="DR412" s="43"/>
      <c r="DS412" s="43"/>
      <c r="DT412" s="43"/>
      <c r="DU412" s="43"/>
      <c r="DV412" s="43"/>
      <c r="DW412" s="43"/>
      <c r="DX412" s="7"/>
      <c r="DY412" s="145"/>
      <c r="DZ412" s="7"/>
      <c r="EA412" s="145"/>
      <c r="EB412" s="7"/>
      <c r="EC412" s="145"/>
      <c r="ED412" s="7"/>
      <c r="EE412" s="145"/>
      <c r="EF412" s="7"/>
    </row>
    <row r="413" spans="2:136" x14ac:dyDescent="0.2">
      <c r="B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U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43"/>
      <c r="DP413" s="43"/>
      <c r="DQ413" s="43"/>
      <c r="DR413" s="43"/>
      <c r="DS413" s="43"/>
      <c r="DT413" s="43"/>
      <c r="DU413" s="43"/>
      <c r="DV413" s="43"/>
      <c r="DW413" s="43"/>
      <c r="DX413" s="7"/>
      <c r="DY413" s="145"/>
      <c r="DZ413" s="7"/>
      <c r="EA413" s="145"/>
      <c r="EB413" s="7"/>
      <c r="EC413" s="145"/>
      <c r="ED413" s="7"/>
      <c r="EE413" s="145"/>
      <c r="EF413" s="7"/>
    </row>
    <row r="414" spans="2:136" x14ac:dyDescent="0.2">
      <c r="B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U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43"/>
      <c r="DP414" s="43"/>
      <c r="DQ414" s="43"/>
      <c r="DR414" s="43"/>
      <c r="DS414" s="43"/>
      <c r="DT414" s="43"/>
      <c r="DU414" s="43"/>
      <c r="DV414" s="43"/>
      <c r="DW414" s="43"/>
      <c r="DX414" s="7"/>
      <c r="DY414" s="145"/>
      <c r="DZ414" s="7"/>
      <c r="EA414" s="145"/>
      <c r="EB414" s="7"/>
      <c r="EC414" s="145"/>
      <c r="ED414" s="7"/>
      <c r="EE414" s="145"/>
      <c r="EF414" s="7"/>
    </row>
    <row r="415" spans="2:136" x14ac:dyDescent="0.2">
      <c r="B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U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43"/>
      <c r="DP415" s="43"/>
      <c r="DQ415" s="43"/>
      <c r="DR415" s="43"/>
      <c r="DS415" s="43"/>
      <c r="DT415" s="43"/>
      <c r="DU415" s="43"/>
      <c r="DV415" s="43"/>
      <c r="DW415" s="43"/>
      <c r="DX415" s="7"/>
      <c r="DY415" s="145"/>
      <c r="DZ415" s="7"/>
      <c r="EA415" s="145"/>
      <c r="EB415" s="7"/>
      <c r="EC415" s="145"/>
      <c r="ED415" s="7"/>
      <c r="EE415" s="145"/>
      <c r="EF415" s="7"/>
    </row>
    <row r="416" spans="2:136" x14ac:dyDescent="0.2">
      <c r="B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U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43"/>
      <c r="DP416" s="43"/>
      <c r="DQ416" s="43"/>
      <c r="DR416" s="43"/>
      <c r="DS416" s="43"/>
      <c r="DT416" s="43"/>
      <c r="DU416" s="43"/>
      <c r="DV416" s="43"/>
      <c r="DW416" s="43"/>
      <c r="DX416" s="7"/>
      <c r="DY416" s="145"/>
      <c r="DZ416" s="7"/>
      <c r="EA416" s="145"/>
      <c r="EB416" s="7"/>
      <c r="EC416" s="145"/>
      <c r="ED416" s="7"/>
      <c r="EE416" s="145"/>
      <c r="EF416" s="7"/>
    </row>
    <row r="417" spans="2:136" x14ac:dyDescent="0.2">
      <c r="B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U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43"/>
      <c r="DP417" s="43"/>
      <c r="DQ417" s="43"/>
      <c r="DR417" s="43"/>
      <c r="DS417" s="43"/>
      <c r="DT417" s="43"/>
      <c r="DU417" s="43"/>
      <c r="DV417" s="43"/>
      <c r="DW417" s="43"/>
      <c r="DX417" s="7"/>
      <c r="DY417" s="145"/>
      <c r="DZ417" s="7"/>
      <c r="EA417" s="145"/>
      <c r="EB417" s="7"/>
      <c r="EC417" s="145"/>
      <c r="ED417" s="7"/>
      <c r="EE417" s="145"/>
      <c r="EF417" s="7"/>
    </row>
    <row r="418" spans="2:136" x14ac:dyDescent="0.2">
      <c r="B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U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43"/>
      <c r="DP418" s="43"/>
      <c r="DQ418" s="43"/>
      <c r="DR418" s="43"/>
      <c r="DS418" s="43"/>
      <c r="DT418" s="43"/>
      <c r="DU418" s="43"/>
      <c r="DV418" s="43"/>
      <c r="DW418" s="43"/>
      <c r="DX418" s="7"/>
      <c r="DY418" s="145"/>
      <c r="DZ418" s="7"/>
      <c r="EA418" s="145"/>
      <c r="EB418" s="7"/>
      <c r="EC418" s="145"/>
      <c r="ED418" s="7"/>
      <c r="EE418" s="145"/>
      <c r="EF418" s="7"/>
    </row>
    <row r="419" spans="2:136" x14ac:dyDescent="0.2">
      <c r="B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U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43"/>
      <c r="DP419" s="43"/>
      <c r="DQ419" s="43"/>
      <c r="DR419" s="43"/>
      <c r="DS419" s="43"/>
      <c r="DT419" s="43"/>
      <c r="DU419" s="43"/>
      <c r="DV419" s="43"/>
      <c r="DW419" s="43"/>
      <c r="DX419" s="7"/>
      <c r="DY419" s="145"/>
      <c r="DZ419" s="7"/>
      <c r="EA419" s="145"/>
      <c r="EB419" s="7"/>
      <c r="EC419" s="145"/>
      <c r="ED419" s="7"/>
      <c r="EE419" s="145"/>
      <c r="EF419" s="7"/>
    </row>
    <row r="420" spans="2:136" x14ac:dyDescent="0.2">
      <c r="B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U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43"/>
      <c r="DP420" s="43"/>
      <c r="DQ420" s="43"/>
      <c r="DR420" s="43"/>
      <c r="DS420" s="43"/>
      <c r="DT420" s="43"/>
      <c r="DU420" s="43"/>
      <c r="DV420" s="43"/>
      <c r="DW420" s="43"/>
      <c r="DX420" s="7"/>
      <c r="DY420" s="145"/>
      <c r="DZ420" s="7"/>
      <c r="EA420" s="145"/>
      <c r="EB420" s="7"/>
      <c r="EC420" s="145"/>
      <c r="ED420" s="7"/>
      <c r="EE420" s="145"/>
      <c r="EF420" s="7"/>
    </row>
    <row r="421" spans="2:136" x14ac:dyDescent="0.2">
      <c r="B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U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43"/>
      <c r="DP421" s="43"/>
      <c r="DQ421" s="43"/>
      <c r="DR421" s="43"/>
      <c r="DS421" s="43"/>
      <c r="DT421" s="43"/>
      <c r="DU421" s="43"/>
      <c r="DV421" s="43"/>
      <c r="DW421" s="43"/>
      <c r="DX421" s="7"/>
      <c r="DY421" s="145"/>
      <c r="DZ421" s="7"/>
      <c r="EA421" s="145"/>
      <c r="EB421" s="7"/>
      <c r="EC421" s="145"/>
      <c r="ED421" s="7"/>
      <c r="EE421" s="145"/>
      <c r="EF421" s="7"/>
    </row>
    <row r="422" spans="2:136" x14ac:dyDescent="0.2">
      <c r="B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U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43"/>
      <c r="DP422" s="43"/>
      <c r="DQ422" s="43"/>
      <c r="DR422" s="43"/>
      <c r="DS422" s="43"/>
      <c r="DT422" s="43"/>
      <c r="DU422" s="43"/>
      <c r="DV422" s="43"/>
      <c r="DW422" s="43"/>
      <c r="DX422" s="7"/>
      <c r="DY422" s="145"/>
      <c r="DZ422" s="7"/>
      <c r="EA422" s="145"/>
      <c r="EB422" s="7"/>
      <c r="EC422" s="145"/>
      <c r="ED422" s="7"/>
      <c r="EE422" s="145"/>
      <c r="EF422" s="7"/>
    </row>
    <row r="423" spans="2:136" x14ac:dyDescent="0.2">
      <c r="B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U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43"/>
      <c r="DP423" s="43"/>
      <c r="DQ423" s="43"/>
      <c r="DR423" s="43"/>
      <c r="DS423" s="43"/>
      <c r="DT423" s="43"/>
      <c r="DU423" s="43"/>
      <c r="DV423" s="43"/>
      <c r="DW423" s="43"/>
      <c r="DX423" s="7"/>
      <c r="DY423" s="145"/>
      <c r="DZ423" s="7"/>
      <c r="EA423" s="145"/>
      <c r="EB423" s="7"/>
      <c r="EC423" s="145"/>
      <c r="ED423" s="7"/>
      <c r="EE423" s="145"/>
      <c r="EF423" s="7"/>
    </row>
    <row r="424" spans="2:136" x14ac:dyDescent="0.2">
      <c r="B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U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43"/>
      <c r="DP424" s="43"/>
      <c r="DQ424" s="43"/>
      <c r="DR424" s="43"/>
      <c r="DS424" s="43"/>
      <c r="DT424" s="43"/>
      <c r="DU424" s="43"/>
      <c r="DV424" s="43"/>
      <c r="DW424" s="43"/>
      <c r="DX424" s="7"/>
      <c r="DY424" s="145"/>
      <c r="DZ424" s="7"/>
      <c r="EA424" s="145"/>
      <c r="EB424" s="7"/>
      <c r="EC424" s="145"/>
      <c r="ED424" s="7"/>
      <c r="EE424" s="145"/>
      <c r="EF424" s="7"/>
    </row>
    <row r="425" spans="2:136" x14ac:dyDescent="0.2">
      <c r="B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U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43"/>
      <c r="DP425" s="43"/>
      <c r="DQ425" s="43"/>
      <c r="DR425" s="43"/>
      <c r="DS425" s="43"/>
      <c r="DT425" s="43"/>
      <c r="DU425" s="43"/>
      <c r="DV425" s="43"/>
      <c r="DW425" s="43"/>
      <c r="DX425" s="7"/>
      <c r="DY425" s="145"/>
      <c r="DZ425" s="7"/>
      <c r="EA425" s="145"/>
      <c r="EB425" s="7"/>
      <c r="EC425" s="145"/>
      <c r="ED425" s="7"/>
      <c r="EE425" s="145"/>
      <c r="EF425" s="7"/>
    </row>
    <row r="426" spans="2:136" x14ac:dyDescent="0.2">
      <c r="B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U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43"/>
      <c r="DP426" s="43"/>
      <c r="DQ426" s="43"/>
      <c r="DR426" s="43"/>
      <c r="DS426" s="43"/>
      <c r="DT426" s="43"/>
      <c r="DU426" s="43"/>
      <c r="DV426" s="43"/>
      <c r="DW426" s="43"/>
      <c r="DX426" s="7"/>
      <c r="DY426" s="145"/>
      <c r="DZ426" s="7"/>
      <c r="EA426" s="145"/>
      <c r="EB426" s="7"/>
      <c r="EC426" s="145"/>
      <c r="ED426" s="7"/>
      <c r="EE426" s="145"/>
      <c r="EF426" s="7"/>
    </row>
    <row r="427" spans="2:136" x14ac:dyDescent="0.2">
      <c r="B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U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43"/>
      <c r="DP427" s="43"/>
      <c r="DQ427" s="43"/>
      <c r="DR427" s="43"/>
      <c r="DS427" s="43"/>
      <c r="DT427" s="43"/>
      <c r="DU427" s="43"/>
      <c r="DV427" s="43"/>
      <c r="DW427" s="43"/>
      <c r="DX427" s="7"/>
      <c r="DY427" s="145"/>
      <c r="DZ427" s="7"/>
      <c r="EA427" s="145"/>
      <c r="EB427" s="7"/>
      <c r="EC427" s="145"/>
      <c r="ED427" s="7"/>
      <c r="EE427" s="145"/>
      <c r="EF427" s="7"/>
    </row>
    <row r="428" spans="2:136" x14ac:dyDescent="0.2">
      <c r="B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U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43"/>
      <c r="DP428" s="43"/>
      <c r="DQ428" s="43"/>
      <c r="DR428" s="43"/>
      <c r="DS428" s="43"/>
      <c r="DT428" s="43"/>
      <c r="DU428" s="43"/>
      <c r="DV428" s="43"/>
      <c r="DW428" s="43"/>
      <c r="DX428" s="7"/>
      <c r="DY428" s="145"/>
      <c r="DZ428" s="7"/>
      <c r="EA428" s="145"/>
      <c r="EB428" s="7"/>
      <c r="EC428" s="145"/>
      <c r="ED428" s="7"/>
      <c r="EE428" s="145"/>
      <c r="EF428" s="7"/>
    </row>
    <row r="429" spans="2:136" x14ac:dyDescent="0.2">
      <c r="B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U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43"/>
      <c r="DP429" s="43"/>
      <c r="DQ429" s="43"/>
      <c r="DR429" s="43"/>
      <c r="DS429" s="43"/>
      <c r="DT429" s="43"/>
      <c r="DU429" s="43"/>
      <c r="DV429" s="43"/>
      <c r="DW429" s="43"/>
      <c r="DX429" s="7"/>
      <c r="DY429" s="145"/>
      <c r="DZ429" s="7"/>
      <c r="EA429" s="145"/>
      <c r="EB429" s="7"/>
      <c r="EC429" s="145"/>
      <c r="ED429" s="7"/>
      <c r="EE429" s="145"/>
      <c r="EF429" s="7"/>
    </row>
    <row r="430" spans="2:136" x14ac:dyDescent="0.2">
      <c r="B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U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43"/>
      <c r="DP430" s="43"/>
      <c r="DQ430" s="43"/>
      <c r="DR430" s="43"/>
      <c r="DS430" s="43"/>
      <c r="DT430" s="43"/>
      <c r="DU430" s="43"/>
      <c r="DV430" s="43"/>
      <c r="DW430" s="43"/>
      <c r="DX430" s="7"/>
      <c r="DY430" s="145"/>
      <c r="DZ430" s="7"/>
      <c r="EA430" s="145"/>
      <c r="EB430" s="7"/>
      <c r="EC430" s="145"/>
      <c r="ED430" s="7"/>
      <c r="EE430" s="145"/>
      <c r="EF430" s="7"/>
    </row>
    <row r="431" spans="2:136" x14ac:dyDescent="0.2">
      <c r="B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U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43"/>
      <c r="DP431" s="43"/>
      <c r="DQ431" s="43"/>
      <c r="DR431" s="43"/>
      <c r="DS431" s="43"/>
      <c r="DT431" s="43"/>
      <c r="DU431" s="43"/>
      <c r="DV431" s="43"/>
      <c r="DW431" s="43"/>
      <c r="DX431" s="7"/>
      <c r="DY431" s="145"/>
      <c r="DZ431" s="7"/>
      <c r="EA431" s="145"/>
      <c r="EB431" s="7"/>
      <c r="EC431" s="145"/>
      <c r="ED431" s="7"/>
      <c r="EE431" s="145"/>
      <c r="EF431" s="7"/>
    </row>
    <row r="432" spans="2:136" x14ac:dyDescent="0.2">
      <c r="B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U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43"/>
      <c r="DP432" s="43"/>
      <c r="DQ432" s="43"/>
      <c r="DR432" s="43"/>
      <c r="DS432" s="43"/>
      <c r="DT432" s="43"/>
      <c r="DU432" s="43"/>
      <c r="DV432" s="43"/>
      <c r="DW432" s="43"/>
      <c r="DX432" s="7"/>
      <c r="DY432" s="145"/>
      <c r="DZ432" s="7"/>
      <c r="EA432" s="145"/>
      <c r="EB432" s="7"/>
      <c r="EC432" s="145"/>
      <c r="ED432" s="7"/>
      <c r="EE432" s="145"/>
      <c r="EF432" s="7"/>
    </row>
    <row r="433" spans="2:136" x14ac:dyDescent="0.2">
      <c r="B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U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43"/>
      <c r="DP433" s="43"/>
      <c r="DQ433" s="43"/>
      <c r="DR433" s="43"/>
      <c r="DS433" s="43"/>
      <c r="DT433" s="43"/>
      <c r="DU433" s="43"/>
      <c r="DV433" s="43"/>
      <c r="DW433" s="43"/>
      <c r="DX433" s="7"/>
      <c r="DY433" s="145"/>
      <c r="DZ433" s="7"/>
      <c r="EA433" s="145"/>
      <c r="EB433" s="7"/>
      <c r="EC433" s="145"/>
      <c r="ED433" s="7"/>
      <c r="EE433" s="145"/>
      <c r="EF433" s="7"/>
    </row>
    <row r="434" spans="2:136" x14ac:dyDescent="0.2">
      <c r="B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U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43"/>
      <c r="DP434" s="43"/>
      <c r="DQ434" s="43"/>
      <c r="DR434" s="43"/>
      <c r="DS434" s="43"/>
      <c r="DT434" s="43"/>
      <c r="DU434" s="43"/>
      <c r="DV434" s="43"/>
      <c r="DW434" s="43"/>
      <c r="DX434" s="7"/>
      <c r="DY434" s="145"/>
      <c r="DZ434" s="7"/>
      <c r="EA434" s="145"/>
      <c r="EB434" s="7"/>
      <c r="EC434" s="145"/>
      <c r="ED434" s="7"/>
      <c r="EE434" s="145"/>
      <c r="EF434" s="7"/>
    </row>
    <row r="435" spans="2:136" x14ac:dyDescent="0.2">
      <c r="B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U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43"/>
      <c r="DP435" s="43"/>
      <c r="DQ435" s="43"/>
      <c r="DR435" s="43"/>
      <c r="DS435" s="43"/>
      <c r="DT435" s="43"/>
      <c r="DU435" s="43"/>
      <c r="DV435" s="43"/>
      <c r="DW435" s="43"/>
      <c r="DX435" s="7"/>
      <c r="DY435" s="145"/>
      <c r="DZ435" s="7"/>
      <c r="EA435" s="145"/>
      <c r="EB435" s="7"/>
      <c r="EC435" s="145"/>
      <c r="ED435" s="7"/>
      <c r="EE435" s="145"/>
      <c r="EF435" s="7"/>
    </row>
    <row r="436" spans="2:136" x14ac:dyDescent="0.2">
      <c r="B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U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43"/>
      <c r="DP436" s="43"/>
      <c r="DQ436" s="43"/>
      <c r="DR436" s="43"/>
      <c r="DS436" s="43"/>
      <c r="DT436" s="43"/>
      <c r="DU436" s="43"/>
      <c r="DV436" s="43"/>
      <c r="DW436" s="43"/>
      <c r="DX436" s="7"/>
      <c r="DY436" s="145"/>
      <c r="DZ436" s="7"/>
      <c r="EA436" s="145"/>
      <c r="EB436" s="7"/>
      <c r="EC436" s="145"/>
      <c r="ED436" s="7"/>
      <c r="EE436" s="145"/>
      <c r="EF436" s="7"/>
    </row>
    <row r="437" spans="2:136" x14ac:dyDescent="0.2">
      <c r="B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U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43"/>
      <c r="DP437" s="43"/>
      <c r="DQ437" s="43"/>
      <c r="DR437" s="43"/>
      <c r="DS437" s="43"/>
      <c r="DT437" s="43"/>
      <c r="DU437" s="43"/>
      <c r="DV437" s="43"/>
      <c r="DW437" s="43"/>
      <c r="DX437" s="7"/>
      <c r="DY437" s="145"/>
      <c r="DZ437" s="7"/>
      <c r="EA437" s="145"/>
      <c r="EB437" s="7"/>
      <c r="EC437" s="145"/>
      <c r="ED437" s="7"/>
      <c r="EE437" s="145"/>
      <c r="EF437" s="7"/>
    </row>
    <row r="438" spans="2:136" x14ac:dyDescent="0.2">
      <c r="B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U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43"/>
      <c r="DP438" s="43"/>
      <c r="DQ438" s="43"/>
      <c r="DR438" s="43"/>
      <c r="DS438" s="43"/>
      <c r="DT438" s="43"/>
      <c r="DU438" s="43"/>
      <c r="DV438" s="43"/>
      <c r="DW438" s="43"/>
      <c r="DX438" s="7"/>
      <c r="DY438" s="145"/>
      <c r="DZ438" s="7"/>
      <c r="EA438" s="145"/>
      <c r="EB438" s="7"/>
      <c r="EC438" s="145"/>
      <c r="ED438" s="7"/>
      <c r="EE438" s="145"/>
      <c r="EF438" s="7"/>
    </row>
    <row r="439" spans="2:136" x14ac:dyDescent="0.2">
      <c r="B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U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43"/>
      <c r="DP439" s="43"/>
      <c r="DQ439" s="43"/>
      <c r="DR439" s="43"/>
      <c r="DS439" s="43"/>
      <c r="DT439" s="43"/>
      <c r="DU439" s="43"/>
      <c r="DV439" s="43"/>
      <c r="DW439" s="43"/>
      <c r="DX439" s="7"/>
      <c r="DY439" s="145"/>
      <c r="DZ439" s="7"/>
      <c r="EA439" s="145"/>
      <c r="EB439" s="7"/>
      <c r="EC439" s="145"/>
      <c r="ED439" s="7"/>
      <c r="EE439" s="145"/>
      <c r="EF439" s="7"/>
    </row>
    <row r="440" spans="2:136" x14ac:dyDescent="0.2">
      <c r="B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U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43"/>
      <c r="DP440" s="43"/>
      <c r="DQ440" s="43"/>
      <c r="DR440" s="43"/>
      <c r="DS440" s="43"/>
      <c r="DT440" s="43"/>
      <c r="DU440" s="43"/>
      <c r="DV440" s="43"/>
      <c r="DW440" s="43"/>
      <c r="DX440" s="7"/>
      <c r="DY440" s="145"/>
      <c r="DZ440" s="7"/>
      <c r="EA440" s="145"/>
      <c r="EB440" s="7"/>
      <c r="EC440" s="145"/>
      <c r="ED440" s="7"/>
      <c r="EE440" s="145"/>
      <c r="EF440" s="7"/>
    </row>
    <row r="441" spans="2:136" x14ac:dyDescent="0.2">
      <c r="B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U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43"/>
      <c r="DP441" s="43"/>
      <c r="DQ441" s="43"/>
      <c r="DR441" s="43"/>
      <c r="DS441" s="43"/>
      <c r="DT441" s="43"/>
      <c r="DU441" s="43"/>
      <c r="DV441" s="43"/>
      <c r="DW441" s="43"/>
      <c r="DX441" s="7"/>
      <c r="DY441" s="145"/>
      <c r="DZ441" s="7"/>
      <c r="EA441" s="145"/>
      <c r="EB441" s="7"/>
      <c r="EC441" s="145"/>
      <c r="ED441" s="7"/>
      <c r="EE441" s="145"/>
      <c r="EF441" s="7"/>
    </row>
    <row r="442" spans="2:136" x14ac:dyDescent="0.2">
      <c r="B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U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43"/>
      <c r="DP442" s="43"/>
      <c r="DQ442" s="43"/>
      <c r="DR442" s="43"/>
      <c r="DS442" s="43"/>
      <c r="DT442" s="43"/>
      <c r="DU442" s="43"/>
      <c r="DV442" s="43"/>
      <c r="DW442" s="43"/>
      <c r="DX442" s="7"/>
      <c r="DY442" s="145"/>
      <c r="DZ442" s="7"/>
      <c r="EA442" s="145"/>
      <c r="EB442" s="7"/>
      <c r="EC442" s="145"/>
      <c r="ED442" s="7"/>
      <c r="EE442" s="145"/>
      <c r="EF442" s="7"/>
    </row>
    <row r="443" spans="2:136" x14ac:dyDescent="0.2">
      <c r="B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U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43"/>
      <c r="DP443" s="43"/>
      <c r="DQ443" s="43"/>
      <c r="DR443" s="43"/>
      <c r="DS443" s="43"/>
      <c r="DT443" s="43"/>
      <c r="DU443" s="43"/>
      <c r="DV443" s="43"/>
      <c r="DW443" s="43"/>
      <c r="DX443" s="7"/>
      <c r="DY443" s="145"/>
      <c r="DZ443" s="7"/>
      <c r="EA443" s="145"/>
      <c r="EB443" s="7"/>
      <c r="EC443" s="145"/>
      <c r="ED443" s="7"/>
      <c r="EE443" s="145"/>
      <c r="EF443" s="7"/>
    </row>
    <row r="444" spans="2:136" x14ac:dyDescent="0.2">
      <c r="B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U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43"/>
      <c r="DP444" s="43"/>
      <c r="DQ444" s="43"/>
      <c r="DR444" s="43"/>
      <c r="DS444" s="43"/>
      <c r="DT444" s="43"/>
      <c r="DU444" s="43"/>
      <c r="DV444" s="43"/>
      <c r="DW444" s="43"/>
      <c r="DX444" s="7"/>
      <c r="DY444" s="145"/>
      <c r="DZ444" s="7"/>
      <c r="EA444" s="145"/>
      <c r="EB444" s="7"/>
      <c r="EC444" s="145"/>
      <c r="ED444" s="7"/>
      <c r="EE444" s="145"/>
      <c r="EF444" s="7"/>
    </row>
    <row r="445" spans="2:136" x14ac:dyDescent="0.2">
      <c r="B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U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43"/>
      <c r="DP445" s="43"/>
      <c r="DQ445" s="43"/>
      <c r="DR445" s="43"/>
      <c r="DS445" s="43"/>
      <c r="DT445" s="43"/>
      <c r="DU445" s="43"/>
      <c r="DV445" s="43"/>
      <c r="DW445" s="43"/>
      <c r="DX445" s="7"/>
      <c r="DY445" s="145"/>
      <c r="DZ445" s="7"/>
      <c r="EA445" s="145"/>
      <c r="EB445" s="7"/>
      <c r="EC445" s="145"/>
      <c r="ED445" s="7"/>
      <c r="EE445" s="145"/>
      <c r="EF445" s="7"/>
    </row>
    <row r="446" spans="2:136" x14ac:dyDescent="0.2">
      <c r="B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U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43"/>
      <c r="DP446" s="43"/>
      <c r="DQ446" s="43"/>
      <c r="DR446" s="43"/>
      <c r="DS446" s="43"/>
      <c r="DT446" s="43"/>
      <c r="DU446" s="43"/>
      <c r="DV446" s="43"/>
      <c r="DW446" s="43"/>
      <c r="DX446" s="7"/>
      <c r="DY446" s="145"/>
      <c r="DZ446" s="7"/>
      <c r="EA446" s="145"/>
      <c r="EB446" s="7"/>
      <c r="EC446" s="145"/>
      <c r="ED446" s="7"/>
      <c r="EE446" s="145"/>
      <c r="EF446" s="7"/>
    </row>
    <row r="447" spans="2:136" x14ac:dyDescent="0.2">
      <c r="B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U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43"/>
      <c r="DP447" s="43"/>
      <c r="DQ447" s="43"/>
      <c r="DR447" s="43"/>
      <c r="DS447" s="43"/>
      <c r="DT447" s="43"/>
      <c r="DU447" s="43"/>
      <c r="DV447" s="43"/>
      <c r="DW447" s="43"/>
      <c r="DX447" s="7"/>
      <c r="DY447" s="145"/>
      <c r="DZ447" s="7"/>
      <c r="EA447" s="145"/>
      <c r="EB447" s="7"/>
      <c r="EC447" s="145"/>
      <c r="ED447" s="7"/>
      <c r="EE447" s="145"/>
      <c r="EF447" s="7"/>
    </row>
    <row r="448" spans="2:136" x14ac:dyDescent="0.2">
      <c r="B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U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43"/>
      <c r="DP448" s="43"/>
      <c r="DQ448" s="43"/>
      <c r="DR448" s="43"/>
      <c r="DS448" s="43"/>
      <c r="DT448" s="43"/>
      <c r="DU448" s="43"/>
      <c r="DV448" s="43"/>
      <c r="DW448" s="43"/>
      <c r="DX448" s="7"/>
      <c r="DY448" s="145"/>
      <c r="DZ448" s="7"/>
      <c r="EA448" s="145"/>
      <c r="EB448" s="7"/>
      <c r="EC448" s="145"/>
      <c r="ED448" s="7"/>
      <c r="EE448" s="145"/>
      <c r="EF448" s="7"/>
    </row>
    <row r="449" spans="2:136" x14ac:dyDescent="0.2">
      <c r="B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U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43"/>
      <c r="DP449" s="43"/>
      <c r="DQ449" s="43"/>
      <c r="DR449" s="43"/>
      <c r="DS449" s="43"/>
      <c r="DT449" s="43"/>
      <c r="DU449" s="43"/>
      <c r="DV449" s="43"/>
      <c r="DW449" s="43"/>
      <c r="DX449" s="7"/>
      <c r="DY449" s="145"/>
      <c r="DZ449" s="7"/>
      <c r="EA449" s="145"/>
      <c r="EB449" s="7"/>
      <c r="EC449" s="145"/>
      <c r="ED449" s="7"/>
      <c r="EE449" s="145"/>
      <c r="EF449" s="7"/>
    </row>
    <row r="450" spans="2:136" x14ac:dyDescent="0.2">
      <c r="B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U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43"/>
      <c r="DP450" s="43"/>
      <c r="DQ450" s="43"/>
      <c r="DR450" s="43"/>
      <c r="DS450" s="43"/>
      <c r="DT450" s="43"/>
      <c r="DU450" s="43"/>
      <c r="DV450" s="43"/>
      <c r="DW450" s="43"/>
      <c r="DX450" s="7"/>
      <c r="DY450" s="145"/>
      <c r="DZ450" s="7"/>
      <c r="EA450" s="145"/>
      <c r="EB450" s="7"/>
      <c r="EC450" s="145"/>
      <c r="ED450" s="7"/>
      <c r="EE450" s="145"/>
      <c r="EF450" s="7"/>
    </row>
    <row r="451" spans="2:136" x14ac:dyDescent="0.2">
      <c r="B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U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43"/>
      <c r="DP451" s="43"/>
      <c r="DQ451" s="43"/>
      <c r="DR451" s="43"/>
      <c r="DS451" s="43"/>
      <c r="DT451" s="43"/>
      <c r="DU451" s="43"/>
      <c r="DV451" s="43"/>
      <c r="DW451" s="43"/>
      <c r="DX451" s="7"/>
      <c r="DY451" s="145"/>
      <c r="DZ451" s="7"/>
      <c r="EA451" s="145"/>
      <c r="EB451" s="7"/>
      <c r="EC451" s="145"/>
      <c r="ED451" s="7"/>
      <c r="EE451" s="145"/>
      <c r="EF451" s="7"/>
    </row>
    <row r="452" spans="2:136" x14ac:dyDescent="0.2">
      <c r="B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U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43"/>
      <c r="DP452" s="43"/>
      <c r="DQ452" s="43"/>
      <c r="DR452" s="43"/>
      <c r="DS452" s="43"/>
      <c r="DT452" s="43"/>
      <c r="DU452" s="43"/>
      <c r="DV452" s="43"/>
      <c r="DW452" s="43"/>
      <c r="DX452" s="7"/>
      <c r="DY452" s="145"/>
      <c r="DZ452" s="7"/>
      <c r="EA452" s="145"/>
      <c r="EB452" s="7"/>
      <c r="EC452" s="145"/>
      <c r="ED452" s="7"/>
      <c r="EE452" s="145"/>
      <c r="EF452" s="7"/>
    </row>
    <row r="453" spans="2:136" x14ac:dyDescent="0.2">
      <c r="B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U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43"/>
      <c r="DP453" s="43"/>
      <c r="DQ453" s="43"/>
      <c r="DR453" s="43"/>
      <c r="DS453" s="43"/>
      <c r="DT453" s="43"/>
      <c r="DU453" s="43"/>
      <c r="DV453" s="43"/>
      <c r="DW453" s="43"/>
      <c r="DX453" s="7"/>
      <c r="DY453" s="145"/>
      <c r="DZ453" s="7"/>
      <c r="EA453" s="145"/>
      <c r="EB453" s="7"/>
      <c r="EC453" s="145"/>
      <c r="ED453" s="7"/>
      <c r="EE453" s="145"/>
      <c r="EF453" s="7"/>
    </row>
    <row r="454" spans="2:136" x14ac:dyDescent="0.2">
      <c r="B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U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43"/>
      <c r="DP454" s="43"/>
      <c r="DQ454" s="43"/>
      <c r="DR454" s="43"/>
      <c r="DS454" s="43"/>
      <c r="DT454" s="43"/>
      <c r="DU454" s="43"/>
      <c r="DV454" s="43"/>
      <c r="DW454" s="43"/>
      <c r="DX454" s="7"/>
      <c r="DY454" s="145"/>
      <c r="DZ454" s="7"/>
      <c r="EA454" s="145"/>
      <c r="EB454" s="7"/>
      <c r="EC454" s="145"/>
      <c r="ED454" s="7"/>
      <c r="EE454" s="145"/>
      <c r="EF454" s="7"/>
    </row>
    <row r="455" spans="2:136" x14ac:dyDescent="0.2">
      <c r="B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U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43"/>
      <c r="DP455" s="43"/>
      <c r="DQ455" s="43"/>
      <c r="DR455" s="43"/>
      <c r="DS455" s="43"/>
      <c r="DT455" s="43"/>
      <c r="DU455" s="43"/>
      <c r="DV455" s="43"/>
      <c r="DW455" s="43"/>
      <c r="DX455" s="7"/>
      <c r="DY455" s="145"/>
      <c r="DZ455" s="7"/>
      <c r="EA455" s="145"/>
      <c r="EB455" s="7"/>
      <c r="EC455" s="145"/>
      <c r="ED455" s="7"/>
      <c r="EE455" s="145"/>
      <c r="EF455" s="7"/>
    </row>
    <row r="456" spans="2:136" x14ac:dyDescent="0.2">
      <c r="B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U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43"/>
      <c r="DP456" s="43"/>
      <c r="DQ456" s="43"/>
      <c r="DR456" s="43"/>
      <c r="DS456" s="43"/>
      <c r="DT456" s="43"/>
      <c r="DU456" s="43"/>
      <c r="DV456" s="43"/>
      <c r="DW456" s="43"/>
      <c r="DX456" s="7"/>
      <c r="DY456" s="145"/>
      <c r="DZ456" s="7"/>
      <c r="EA456" s="145"/>
      <c r="EB456" s="7"/>
      <c r="EC456" s="145"/>
      <c r="ED456" s="7"/>
      <c r="EE456" s="145"/>
      <c r="EF456" s="7"/>
    </row>
    <row r="457" spans="2:136" x14ac:dyDescent="0.2">
      <c r="B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U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43"/>
      <c r="DP457" s="43"/>
      <c r="DQ457" s="43"/>
      <c r="DR457" s="43"/>
      <c r="DS457" s="43"/>
      <c r="DT457" s="43"/>
      <c r="DU457" s="43"/>
      <c r="DV457" s="43"/>
      <c r="DW457" s="43"/>
      <c r="DX457" s="7"/>
      <c r="DY457" s="145"/>
      <c r="DZ457" s="7"/>
      <c r="EA457" s="145"/>
      <c r="EB457" s="7"/>
      <c r="EC457" s="145"/>
      <c r="ED457" s="7"/>
      <c r="EE457" s="145"/>
      <c r="EF457" s="7"/>
    </row>
    <row r="458" spans="2:136" x14ac:dyDescent="0.2">
      <c r="B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U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43"/>
      <c r="DP458" s="43"/>
      <c r="DQ458" s="43"/>
      <c r="DR458" s="43"/>
      <c r="DS458" s="43"/>
      <c r="DT458" s="43"/>
      <c r="DU458" s="43"/>
      <c r="DV458" s="43"/>
      <c r="DW458" s="43"/>
      <c r="DX458" s="7"/>
      <c r="DY458" s="145"/>
      <c r="DZ458" s="7"/>
      <c r="EA458" s="145"/>
      <c r="EB458" s="7"/>
      <c r="EC458" s="145"/>
      <c r="ED458" s="7"/>
      <c r="EE458" s="145"/>
      <c r="EF458" s="7"/>
    </row>
    <row r="459" spans="2:136" x14ac:dyDescent="0.2">
      <c r="B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U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43"/>
      <c r="DP459" s="43"/>
      <c r="DQ459" s="43"/>
      <c r="DR459" s="43"/>
      <c r="DS459" s="43"/>
      <c r="DT459" s="43"/>
      <c r="DU459" s="43"/>
      <c r="DV459" s="43"/>
      <c r="DW459" s="43"/>
      <c r="DX459" s="7"/>
      <c r="DY459" s="145"/>
      <c r="DZ459" s="7"/>
      <c r="EA459" s="145"/>
      <c r="EB459" s="7"/>
      <c r="EC459" s="145"/>
      <c r="ED459" s="7"/>
      <c r="EE459" s="145"/>
      <c r="EF459" s="7"/>
    </row>
    <row r="460" spans="2:136" x14ac:dyDescent="0.2">
      <c r="B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U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43"/>
      <c r="DP460" s="43"/>
      <c r="DQ460" s="43"/>
      <c r="DR460" s="43"/>
      <c r="DS460" s="43"/>
      <c r="DT460" s="43"/>
      <c r="DU460" s="43"/>
      <c r="DV460" s="43"/>
      <c r="DW460" s="43"/>
      <c r="DX460" s="7"/>
      <c r="DY460" s="145"/>
      <c r="DZ460" s="7"/>
      <c r="EA460" s="145"/>
      <c r="EB460" s="7"/>
      <c r="EC460" s="145"/>
      <c r="ED460" s="7"/>
      <c r="EE460" s="145"/>
      <c r="EF460" s="7"/>
    </row>
    <row r="461" spans="2:136" x14ac:dyDescent="0.2">
      <c r="B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U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43"/>
      <c r="DP461" s="43"/>
      <c r="DQ461" s="43"/>
      <c r="DR461" s="43"/>
      <c r="DS461" s="43"/>
      <c r="DT461" s="43"/>
      <c r="DU461" s="43"/>
      <c r="DV461" s="43"/>
      <c r="DW461" s="43"/>
      <c r="DX461" s="7"/>
      <c r="DY461" s="145"/>
      <c r="DZ461" s="7"/>
      <c r="EA461" s="145"/>
      <c r="EB461" s="7"/>
      <c r="EC461" s="145"/>
      <c r="ED461" s="7"/>
      <c r="EE461" s="145"/>
      <c r="EF461" s="7"/>
    </row>
    <row r="462" spans="2:136" x14ac:dyDescent="0.2">
      <c r="B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U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43"/>
      <c r="DP462" s="43"/>
      <c r="DQ462" s="43"/>
      <c r="DR462" s="43"/>
      <c r="DS462" s="43"/>
      <c r="DT462" s="43"/>
      <c r="DU462" s="43"/>
      <c r="DV462" s="43"/>
      <c r="DW462" s="43"/>
      <c r="DX462" s="7"/>
      <c r="DY462" s="145"/>
      <c r="DZ462" s="7"/>
      <c r="EA462" s="145"/>
      <c r="EB462" s="7"/>
      <c r="EC462" s="145"/>
      <c r="ED462" s="7"/>
      <c r="EE462" s="145"/>
      <c r="EF462" s="7"/>
    </row>
    <row r="463" spans="2:136" x14ac:dyDescent="0.2">
      <c r="B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U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43"/>
      <c r="DP463" s="43"/>
      <c r="DQ463" s="43"/>
      <c r="DR463" s="43"/>
      <c r="DS463" s="43"/>
      <c r="DT463" s="43"/>
      <c r="DU463" s="43"/>
      <c r="DV463" s="43"/>
      <c r="DW463" s="43"/>
      <c r="DX463" s="7"/>
      <c r="DY463" s="145"/>
      <c r="DZ463" s="7"/>
      <c r="EA463" s="145"/>
      <c r="EB463" s="7"/>
      <c r="EC463" s="145"/>
      <c r="ED463" s="7"/>
      <c r="EE463" s="145"/>
      <c r="EF463" s="7"/>
    </row>
    <row r="464" spans="2:136" x14ac:dyDescent="0.2">
      <c r="B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U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43"/>
      <c r="DP464" s="43"/>
      <c r="DQ464" s="43"/>
      <c r="DR464" s="43"/>
      <c r="DS464" s="43"/>
      <c r="DT464" s="43"/>
      <c r="DU464" s="43"/>
      <c r="DV464" s="43"/>
      <c r="DW464" s="43"/>
      <c r="DX464" s="7"/>
      <c r="DY464" s="145"/>
      <c r="DZ464" s="7"/>
      <c r="EA464" s="145"/>
      <c r="EB464" s="7"/>
      <c r="EC464" s="145"/>
      <c r="ED464" s="7"/>
      <c r="EE464" s="145"/>
      <c r="EF464" s="7"/>
    </row>
    <row r="465" spans="2:136" x14ac:dyDescent="0.2">
      <c r="B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U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43"/>
      <c r="DP465" s="43"/>
      <c r="DQ465" s="43"/>
      <c r="DR465" s="43"/>
      <c r="DS465" s="43"/>
      <c r="DT465" s="43"/>
      <c r="DU465" s="43"/>
      <c r="DV465" s="43"/>
      <c r="DW465" s="43"/>
      <c r="DX465" s="7"/>
      <c r="DY465" s="145"/>
      <c r="DZ465" s="7"/>
      <c r="EA465" s="145"/>
      <c r="EB465" s="7"/>
      <c r="EC465" s="145"/>
      <c r="ED465" s="7"/>
      <c r="EE465" s="145"/>
      <c r="EF465" s="7"/>
    </row>
    <row r="466" spans="2:136" x14ac:dyDescent="0.2">
      <c r="B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U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43"/>
      <c r="DP466" s="43"/>
      <c r="DQ466" s="43"/>
      <c r="DR466" s="43"/>
      <c r="DS466" s="43"/>
      <c r="DT466" s="43"/>
      <c r="DU466" s="43"/>
      <c r="DV466" s="43"/>
      <c r="DW466" s="43"/>
      <c r="DX466" s="7"/>
      <c r="DY466" s="145"/>
      <c r="DZ466" s="7"/>
      <c r="EA466" s="145"/>
      <c r="EB466" s="7"/>
      <c r="EC466" s="145"/>
      <c r="ED466" s="7"/>
      <c r="EE466" s="145"/>
      <c r="EF466" s="7"/>
    </row>
    <row r="467" spans="2:136" x14ac:dyDescent="0.2">
      <c r="B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U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43"/>
      <c r="DP467" s="43"/>
      <c r="DQ467" s="43"/>
      <c r="DR467" s="43"/>
      <c r="DS467" s="43"/>
      <c r="DT467" s="43"/>
      <c r="DU467" s="43"/>
      <c r="DV467" s="43"/>
      <c r="DW467" s="43"/>
      <c r="DX467" s="7"/>
      <c r="DY467" s="145"/>
      <c r="DZ467" s="7"/>
      <c r="EA467" s="145"/>
      <c r="EB467" s="7"/>
      <c r="EC467" s="145"/>
      <c r="ED467" s="7"/>
      <c r="EE467" s="145"/>
      <c r="EF467" s="7"/>
    </row>
    <row r="468" spans="2:136" x14ac:dyDescent="0.2">
      <c r="B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U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43"/>
      <c r="DP468" s="43"/>
      <c r="DQ468" s="43"/>
      <c r="DR468" s="43"/>
      <c r="DS468" s="43"/>
      <c r="DT468" s="43"/>
      <c r="DU468" s="43"/>
      <c r="DV468" s="43"/>
      <c r="DW468" s="43"/>
      <c r="DX468" s="7"/>
      <c r="DY468" s="145"/>
      <c r="DZ468" s="7"/>
      <c r="EA468" s="145"/>
      <c r="EB468" s="7"/>
      <c r="EC468" s="145"/>
      <c r="ED468" s="7"/>
      <c r="EE468" s="145"/>
      <c r="EF468" s="7"/>
    </row>
    <row r="469" spans="2:136" x14ac:dyDescent="0.2">
      <c r="B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U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43"/>
      <c r="DP469" s="43"/>
      <c r="DQ469" s="43"/>
      <c r="DR469" s="43"/>
      <c r="DS469" s="43"/>
      <c r="DT469" s="43"/>
      <c r="DU469" s="43"/>
      <c r="DV469" s="43"/>
      <c r="DW469" s="43"/>
      <c r="DX469" s="7"/>
      <c r="DY469" s="145"/>
      <c r="DZ469" s="7"/>
      <c r="EA469" s="145"/>
      <c r="EB469" s="7"/>
      <c r="EC469" s="145"/>
      <c r="ED469" s="7"/>
      <c r="EE469" s="145"/>
      <c r="EF469" s="7"/>
    </row>
    <row r="470" spans="2:136" x14ac:dyDescent="0.2">
      <c r="B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U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43"/>
      <c r="DP470" s="43"/>
      <c r="DQ470" s="43"/>
      <c r="DR470" s="43"/>
      <c r="DS470" s="43"/>
      <c r="DT470" s="43"/>
      <c r="DU470" s="43"/>
      <c r="DV470" s="43"/>
      <c r="DW470" s="43"/>
      <c r="DX470" s="7"/>
      <c r="DY470" s="145"/>
      <c r="DZ470" s="7"/>
      <c r="EA470" s="145"/>
      <c r="EB470" s="7"/>
      <c r="EC470" s="145"/>
      <c r="ED470" s="7"/>
      <c r="EE470" s="145"/>
      <c r="EF470" s="7"/>
    </row>
    <row r="471" spans="2:136" x14ac:dyDescent="0.2">
      <c r="B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U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43"/>
      <c r="DP471" s="43"/>
      <c r="DQ471" s="43"/>
      <c r="DR471" s="43"/>
      <c r="DS471" s="43"/>
      <c r="DT471" s="43"/>
      <c r="DU471" s="43"/>
      <c r="DV471" s="43"/>
      <c r="DW471" s="43"/>
      <c r="DX471" s="7"/>
      <c r="DY471" s="145"/>
      <c r="DZ471" s="7"/>
      <c r="EA471" s="145"/>
      <c r="EB471" s="7"/>
      <c r="EC471" s="145"/>
      <c r="ED471" s="7"/>
      <c r="EE471" s="145"/>
      <c r="EF471" s="7"/>
    </row>
    <row r="472" spans="2:136" x14ac:dyDescent="0.2">
      <c r="B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U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43"/>
      <c r="DP472" s="43"/>
      <c r="DQ472" s="43"/>
      <c r="DR472" s="43"/>
      <c r="DS472" s="43"/>
      <c r="DT472" s="43"/>
      <c r="DU472" s="43"/>
      <c r="DV472" s="43"/>
      <c r="DW472" s="43"/>
      <c r="DX472" s="7"/>
      <c r="DY472" s="145"/>
      <c r="DZ472" s="7"/>
      <c r="EA472" s="145"/>
      <c r="EB472" s="7"/>
      <c r="EC472" s="145"/>
      <c r="ED472" s="7"/>
      <c r="EE472" s="145"/>
      <c r="EF472" s="7"/>
    </row>
    <row r="473" spans="2:136" x14ac:dyDescent="0.2">
      <c r="B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U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43"/>
      <c r="DP473" s="43"/>
      <c r="DQ473" s="43"/>
      <c r="DR473" s="43"/>
      <c r="DS473" s="43"/>
      <c r="DT473" s="43"/>
      <c r="DU473" s="43"/>
      <c r="DV473" s="43"/>
      <c r="DW473" s="43"/>
      <c r="DX473" s="7"/>
      <c r="DY473" s="145"/>
      <c r="DZ473" s="7"/>
      <c r="EA473" s="145"/>
      <c r="EB473" s="7"/>
      <c r="EC473" s="145"/>
      <c r="ED473" s="7"/>
      <c r="EE473" s="145"/>
      <c r="EF473" s="7"/>
    </row>
    <row r="474" spans="2:136" x14ac:dyDescent="0.2">
      <c r="B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U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43"/>
      <c r="DP474" s="43"/>
      <c r="DQ474" s="43"/>
      <c r="DR474" s="43"/>
      <c r="DS474" s="43"/>
      <c r="DT474" s="43"/>
      <c r="DU474" s="43"/>
      <c r="DV474" s="43"/>
      <c r="DW474" s="43"/>
      <c r="DX474" s="7"/>
      <c r="DY474" s="145"/>
      <c r="DZ474" s="7"/>
      <c r="EA474" s="145"/>
      <c r="EB474" s="7"/>
      <c r="EC474" s="145"/>
      <c r="ED474" s="7"/>
      <c r="EE474" s="145"/>
      <c r="EF474" s="7"/>
    </row>
    <row r="475" spans="2:136" x14ac:dyDescent="0.2">
      <c r="B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U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43"/>
      <c r="DP475" s="43"/>
      <c r="DQ475" s="43"/>
      <c r="DR475" s="43"/>
      <c r="DS475" s="43"/>
      <c r="DT475" s="43"/>
      <c r="DU475" s="43"/>
      <c r="DV475" s="43"/>
      <c r="DW475" s="43"/>
      <c r="DX475" s="7"/>
      <c r="DY475" s="145"/>
      <c r="DZ475" s="7"/>
      <c r="EA475" s="145"/>
      <c r="EB475" s="7"/>
      <c r="EC475" s="145"/>
      <c r="ED475" s="7"/>
      <c r="EE475" s="145"/>
      <c r="EF475" s="7"/>
    </row>
    <row r="476" spans="2:136" x14ac:dyDescent="0.2">
      <c r="B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U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43"/>
      <c r="DP476" s="43"/>
      <c r="DQ476" s="43"/>
      <c r="DR476" s="43"/>
      <c r="DS476" s="43"/>
      <c r="DT476" s="43"/>
      <c r="DU476" s="43"/>
      <c r="DV476" s="43"/>
      <c r="DW476" s="43"/>
      <c r="DX476" s="7"/>
      <c r="DY476" s="145"/>
      <c r="DZ476" s="7"/>
      <c r="EA476" s="145"/>
      <c r="EB476" s="7"/>
      <c r="EC476" s="145"/>
      <c r="ED476" s="7"/>
      <c r="EE476" s="145"/>
      <c r="EF476" s="7"/>
    </row>
    <row r="477" spans="2:136" x14ac:dyDescent="0.2">
      <c r="B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U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43"/>
      <c r="DP477" s="43"/>
      <c r="DQ477" s="43"/>
      <c r="DR477" s="43"/>
      <c r="DS477" s="43"/>
      <c r="DT477" s="43"/>
      <c r="DU477" s="43"/>
      <c r="DV477" s="43"/>
      <c r="DW477" s="43"/>
      <c r="DX477" s="7"/>
      <c r="DY477" s="145"/>
      <c r="DZ477" s="7"/>
      <c r="EA477" s="145"/>
      <c r="EB477" s="7"/>
      <c r="EC477" s="145"/>
      <c r="ED477" s="7"/>
      <c r="EE477" s="145"/>
      <c r="EF477" s="7"/>
    </row>
    <row r="478" spans="2:136" x14ac:dyDescent="0.2">
      <c r="B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U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43"/>
      <c r="DP478" s="43"/>
      <c r="DQ478" s="43"/>
      <c r="DR478" s="43"/>
      <c r="DS478" s="43"/>
      <c r="DT478" s="43"/>
      <c r="DU478" s="43"/>
      <c r="DV478" s="43"/>
      <c r="DW478" s="43"/>
      <c r="DX478" s="7"/>
      <c r="DY478" s="145"/>
      <c r="DZ478" s="7"/>
      <c r="EA478" s="145"/>
      <c r="EB478" s="7"/>
      <c r="EC478" s="145"/>
      <c r="ED478" s="7"/>
      <c r="EE478" s="145"/>
      <c r="EF478" s="7"/>
    </row>
    <row r="479" spans="2:136" x14ac:dyDescent="0.2">
      <c r="B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U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43"/>
      <c r="DP479" s="43"/>
      <c r="DQ479" s="43"/>
      <c r="DR479" s="43"/>
      <c r="DS479" s="43"/>
      <c r="DT479" s="43"/>
      <c r="DU479" s="43"/>
      <c r="DV479" s="43"/>
      <c r="DW479" s="43"/>
      <c r="DX479" s="7"/>
      <c r="DY479" s="145"/>
      <c r="DZ479" s="7"/>
      <c r="EA479" s="145"/>
      <c r="EB479" s="7"/>
      <c r="EC479" s="145"/>
      <c r="ED479" s="7"/>
      <c r="EE479" s="145"/>
      <c r="EF479" s="7"/>
    </row>
    <row r="480" spans="2:136" x14ac:dyDescent="0.2">
      <c r="B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U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43"/>
      <c r="DP480" s="43"/>
      <c r="DQ480" s="43"/>
      <c r="DR480" s="43"/>
      <c r="DS480" s="43"/>
      <c r="DT480" s="43"/>
      <c r="DU480" s="43"/>
      <c r="DV480" s="43"/>
      <c r="DW480" s="43"/>
      <c r="DX480" s="7"/>
      <c r="DY480" s="145"/>
      <c r="DZ480" s="7"/>
      <c r="EA480" s="145"/>
      <c r="EB480" s="7"/>
      <c r="EC480" s="145"/>
      <c r="ED480" s="7"/>
      <c r="EE480" s="145"/>
      <c r="EF480" s="7"/>
    </row>
    <row r="481" spans="2:136" x14ac:dyDescent="0.2">
      <c r="B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U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43"/>
      <c r="DP481" s="43"/>
      <c r="DQ481" s="43"/>
      <c r="DR481" s="43"/>
      <c r="DS481" s="43"/>
      <c r="DT481" s="43"/>
      <c r="DU481" s="43"/>
      <c r="DV481" s="43"/>
      <c r="DW481" s="43"/>
      <c r="DX481" s="7"/>
      <c r="DY481" s="145"/>
      <c r="DZ481" s="7"/>
      <c r="EA481" s="145"/>
      <c r="EB481" s="7"/>
      <c r="EC481" s="145"/>
      <c r="ED481" s="7"/>
      <c r="EE481" s="145"/>
      <c r="EF481" s="7"/>
    </row>
    <row r="482" spans="2:136" x14ac:dyDescent="0.2">
      <c r="B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U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43"/>
      <c r="DP482" s="43"/>
      <c r="DQ482" s="43"/>
      <c r="DR482" s="43"/>
      <c r="DS482" s="43"/>
      <c r="DT482" s="43"/>
      <c r="DU482" s="43"/>
      <c r="DV482" s="43"/>
      <c r="DW482" s="43"/>
      <c r="DX482" s="7"/>
      <c r="DY482" s="145"/>
      <c r="DZ482" s="7"/>
      <c r="EA482" s="145"/>
      <c r="EB482" s="7"/>
      <c r="EC482" s="145"/>
      <c r="ED482" s="7"/>
      <c r="EE482" s="145"/>
      <c r="EF482" s="7"/>
    </row>
    <row r="483" spans="2:136" x14ac:dyDescent="0.2">
      <c r="B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U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43"/>
      <c r="DP483" s="43"/>
      <c r="DQ483" s="43"/>
      <c r="DR483" s="43"/>
      <c r="DS483" s="43"/>
      <c r="DT483" s="43"/>
      <c r="DU483" s="43"/>
      <c r="DV483" s="43"/>
      <c r="DW483" s="43"/>
      <c r="DX483" s="7"/>
      <c r="DY483" s="145"/>
      <c r="DZ483" s="7"/>
      <c r="EA483" s="145"/>
      <c r="EB483" s="7"/>
      <c r="EC483" s="145"/>
      <c r="ED483" s="7"/>
      <c r="EE483" s="145"/>
      <c r="EF483" s="7"/>
    </row>
    <row r="484" spans="2:136" x14ac:dyDescent="0.2">
      <c r="B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U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43"/>
      <c r="DP484" s="43"/>
      <c r="DQ484" s="43"/>
      <c r="DR484" s="43"/>
      <c r="DS484" s="43"/>
      <c r="DT484" s="43"/>
      <c r="DU484" s="43"/>
      <c r="DV484" s="43"/>
      <c r="DW484" s="43"/>
      <c r="DX484" s="7"/>
      <c r="DY484" s="145"/>
      <c r="DZ484" s="7"/>
      <c r="EA484" s="145"/>
      <c r="EB484" s="7"/>
      <c r="EC484" s="145"/>
      <c r="ED484" s="7"/>
      <c r="EE484" s="145"/>
      <c r="EF484" s="7"/>
    </row>
    <row r="485" spans="2:136" x14ac:dyDescent="0.2">
      <c r="B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U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43"/>
      <c r="DP485" s="43"/>
      <c r="DQ485" s="43"/>
      <c r="DR485" s="43"/>
      <c r="DS485" s="43"/>
      <c r="DT485" s="43"/>
      <c r="DU485" s="43"/>
      <c r="DV485" s="43"/>
      <c r="DW485" s="43"/>
      <c r="DX485" s="7"/>
      <c r="DY485" s="145"/>
      <c r="DZ485" s="7"/>
      <c r="EA485" s="145"/>
      <c r="EB485" s="7"/>
      <c r="EC485" s="145"/>
      <c r="ED485" s="7"/>
      <c r="EE485" s="145"/>
      <c r="EF485" s="7"/>
    </row>
    <row r="486" spans="2:136" x14ac:dyDescent="0.2">
      <c r="B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U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43"/>
      <c r="DP486" s="43"/>
      <c r="DQ486" s="43"/>
      <c r="DR486" s="43"/>
      <c r="DS486" s="43"/>
      <c r="DT486" s="43"/>
      <c r="DU486" s="43"/>
      <c r="DV486" s="43"/>
      <c r="DW486" s="43"/>
      <c r="DX486" s="7"/>
      <c r="DY486" s="145"/>
      <c r="DZ486" s="7"/>
      <c r="EA486" s="145"/>
      <c r="EB486" s="7"/>
      <c r="EC486" s="145"/>
      <c r="ED486" s="7"/>
      <c r="EE486" s="145"/>
      <c r="EF486" s="7"/>
    </row>
    <row r="487" spans="2:136" x14ac:dyDescent="0.2">
      <c r="B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U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43"/>
      <c r="DP487" s="43"/>
      <c r="DQ487" s="43"/>
      <c r="DR487" s="43"/>
      <c r="DS487" s="43"/>
      <c r="DT487" s="43"/>
      <c r="DU487" s="43"/>
      <c r="DV487" s="43"/>
      <c r="DW487" s="43"/>
      <c r="DX487" s="7"/>
      <c r="DY487" s="145"/>
      <c r="DZ487" s="7"/>
      <c r="EA487" s="145"/>
      <c r="EB487" s="7"/>
      <c r="EC487" s="145"/>
      <c r="ED487" s="7"/>
      <c r="EE487" s="145"/>
      <c r="EF487" s="7"/>
    </row>
    <row r="488" spans="2:136" x14ac:dyDescent="0.2">
      <c r="B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U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43"/>
      <c r="DP488" s="43"/>
      <c r="DQ488" s="43"/>
      <c r="DR488" s="43"/>
      <c r="DS488" s="43"/>
      <c r="DT488" s="43"/>
      <c r="DU488" s="43"/>
      <c r="DV488" s="43"/>
      <c r="DW488" s="43"/>
      <c r="DX488" s="7"/>
      <c r="DY488" s="145"/>
      <c r="DZ488" s="7"/>
      <c r="EA488" s="145"/>
      <c r="EB488" s="7"/>
      <c r="EC488" s="145"/>
      <c r="ED488" s="7"/>
      <c r="EE488" s="145"/>
      <c r="EF488" s="7"/>
    </row>
    <row r="489" spans="2:136" x14ac:dyDescent="0.2">
      <c r="B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U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43"/>
      <c r="DP489" s="43"/>
      <c r="DQ489" s="43"/>
      <c r="DR489" s="43"/>
      <c r="DS489" s="43"/>
      <c r="DT489" s="43"/>
      <c r="DU489" s="43"/>
      <c r="DV489" s="43"/>
      <c r="DW489" s="43"/>
      <c r="DX489" s="7"/>
      <c r="DY489" s="145"/>
      <c r="DZ489" s="7"/>
      <c r="EA489" s="145"/>
      <c r="EB489" s="7"/>
      <c r="EC489" s="145"/>
      <c r="ED489" s="7"/>
      <c r="EE489" s="145"/>
      <c r="EF489" s="7"/>
    </row>
    <row r="490" spans="2:136" x14ac:dyDescent="0.2">
      <c r="B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U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43"/>
      <c r="DP490" s="43"/>
      <c r="DQ490" s="43"/>
      <c r="DR490" s="43"/>
      <c r="DS490" s="43"/>
      <c r="DT490" s="43"/>
      <c r="DU490" s="43"/>
      <c r="DV490" s="43"/>
      <c r="DW490" s="43"/>
      <c r="DX490" s="7"/>
      <c r="DY490" s="145"/>
      <c r="DZ490" s="7"/>
      <c r="EA490" s="145"/>
      <c r="EB490" s="7"/>
      <c r="EC490" s="145"/>
      <c r="ED490" s="7"/>
      <c r="EE490" s="145"/>
      <c r="EF490" s="7"/>
    </row>
    <row r="491" spans="2:136" x14ac:dyDescent="0.2">
      <c r="B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U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43"/>
      <c r="DP491" s="43"/>
      <c r="DQ491" s="43"/>
      <c r="DR491" s="43"/>
      <c r="DS491" s="43"/>
      <c r="DT491" s="43"/>
      <c r="DU491" s="43"/>
      <c r="DV491" s="43"/>
      <c r="DW491" s="43"/>
      <c r="DX491" s="7"/>
      <c r="DY491" s="145"/>
      <c r="DZ491" s="7"/>
      <c r="EA491" s="145"/>
      <c r="EB491" s="7"/>
      <c r="EC491" s="145"/>
      <c r="ED491" s="7"/>
      <c r="EE491" s="145"/>
      <c r="EF491" s="7"/>
    </row>
    <row r="492" spans="2:136" x14ac:dyDescent="0.2">
      <c r="B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U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43"/>
      <c r="DP492" s="43"/>
      <c r="DQ492" s="43"/>
      <c r="DR492" s="43"/>
      <c r="DS492" s="43"/>
      <c r="DT492" s="43"/>
      <c r="DU492" s="43"/>
      <c r="DV492" s="43"/>
      <c r="DW492" s="43"/>
      <c r="DX492" s="7"/>
      <c r="DY492" s="145"/>
      <c r="DZ492" s="7"/>
      <c r="EA492" s="145"/>
      <c r="EB492" s="7"/>
      <c r="EC492" s="145"/>
      <c r="ED492" s="7"/>
      <c r="EE492" s="145"/>
      <c r="EF492" s="7"/>
    </row>
    <row r="493" spans="2:136" x14ac:dyDescent="0.2">
      <c r="B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U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43"/>
      <c r="DP493" s="43"/>
      <c r="DQ493" s="43"/>
      <c r="DR493" s="43"/>
      <c r="DS493" s="43"/>
      <c r="DT493" s="43"/>
      <c r="DU493" s="43"/>
      <c r="DV493" s="43"/>
      <c r="DW493" s="43"/>
      <c r="DX493" s="7"/>
      <c r="DY493" s="145"/>
      <c r="DZ493" s="7"/>
      <c r="EA493" s="145"/>
      <c r="EB493" s="7"/>
      <c r="EC493" s="145"/>
      <c r="ED493" s="7"/>
      <c r="EE493" s="145"/>
      <c r="EF493" s="7"/>
    </row>
    <row r="494" spans="2:136" x14ac:dyDescent="0.2">
      <c r="B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U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43"/>
      <c r="DP494" s="43"/>
      <c r="DQ494" s="43"/>
      <c r="DR494" s="43"/>
      <c r="DS494" s="43"/>
      <c r="DT494" s="43"/>
      <c r="DU494" s="43"/>
      <c r="DV494" s="43"/>
      <c r="DW494" s="43"/>
      <c r="DX494" s="7"/>
      <c r="DY494" s="145"/>
      <c r="DZ494" s="7"/>
      <c r="EA494" s="145"/>
      <c r="EB494" s="7"/>
      <c r="EC494" s="145"/>
      <c r="ED494" s="7"/>
      <c r="EE494" s="145"/>
      <c r="EF494" s="7"/>
    </row>
    <row r="495" spans="2:136" x14ac:dyDescent="0.2">
      <c r="B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U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43"/>
      <c r="DP495" s="43"/>
      <c r="DQ495" s="43"/>
      <c r="DR495" s="43"/>
      <c r="DS495" s="43"/>
      <c r="DT495" s="43"/>
      <c r="DU495" s="43"/>
      <c r="DV495" s="43"/>
      <c r="DW495" s="43"/>
      <c r="DX495" s="7"/>
      <c r="DY495" s="145"/>
      <c r="DZ495" s="7"/>
      <c r="EA495" s="145"/>
      <c r="EB495" s="7"/>
      <c r="EC495" s="145"/>
      <c r="ED495" s="7"/>
      <c r="EE495" s="145"/>
      <c r="EF495" s="7"/>
    </row>
    <row r="496" spans="2:136" x14ac:dyDescent="0.2">
      <c r="B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U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43"/>
      <c r="DP496" s="43"/>
      <c r="DQ496" s="43"/>
      <c r="DR496" s="43"/>
      <c r="DS496" s="43"/>
      <c r="DT496" s="43"/>
      <c r="DU496" s="43"/>
      <c r="DV496" s="43"/>
      <c r="DW496" s="43"/>
      <c r="DX496" s="7"/>
      <c r="DY496" s="145"/>
      <c r="DZ496" s="7"/>
      <c r="EA496" s="145"/>
      <c r="EB496" s="7"/>
      <c r="EC496" s="145"/>
      <c r="ED496" s="7"/>
      <c r="EE496" s="145"/>
      <c r="EF496" s="7"/>
    </row>
    <row r="497" spans="2:136" x14ac:dyDescent="0.2">
      <c r="B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U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43"/>
      <c r="DP497" s="43"/>
      <c r="DQ497" s="43"/>
      <c r="DR497" s="43"/>
      <c r="DS497" s="43"/>
      <c r="DT497" s="43"/>
      <c r="DU497" s="43"/>
      <c r="DV497" s="43"/>
      <c r="DW497" s="43"/>
      <c r="DX497" s="7"/>
      <c r="DY497" s="145"/>
      <c r="DZ497" s="7"/>
      <c r="EA497" s="145"/>
      <c r="EB497" s="7"/>
      <c r="EC497" s="145"/>
      <c r="ED497" s="7"/>
      <c r="EE497" s="145"/>
      <c r="EF497" s="7"/>
    </row>
    <row r="498" spans="2:136" x14ac:dyDescent="0.2">
      <c r="B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U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43"/>
      <c r="DP498" s="43"/>
      <c r="DQ498" s="43"/>
      <c r="DR498" s="43"/>
      <c r="DS498" s="43"/>
      <c r="DT498" s="43"/>
      <c r="DU498" s="43"/>
      <c r="DV498" s="43"/>
      <c r="DW498" s="43"/>
      <c r="DX498" s="7"/>
      <c r="DY498" s="145"/>
      <c r="DZ498" s="7"/>
      <c r="EA498" s="145"/>
      <c r="EB498" s="7"/>
      <c r="EC498" s="145"/>
      <c r="ED498" s="7"/>
      <c r="EE498" s="145"/>
      <c r="EF498" s="7"/>
    </row>
    <row r="499" spans="2:136" x14ac:dyDescent="0.2">
      <c r="B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U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43"/>
      <c r="DP499" s="43"/>
      <c r="DQ499" s="43"/>
      <c r="DR499" s="43"/>
      <c r="DS499" s="43"/>
      <c r="DT499" s="43"/>
      <c r="DU499" s="43"/>
      <c r="DV499" s="43"/>
      <c r="DW499" s="43"/>
      <c r="DX499" s="7"/>
      <c r="DY499" s="145"/>
      <c r="DZ499" s="7"/>
      <c r="EA499" s="145"/>
      <c r="EB499" s="7"/>
      <c r="EC499" s="145"/>
      <c r="ED499" s="7"/>
      <c r="EE499" s="145"/>
      <c r="EF499" s="7"/>
    </row>
    <row r="500" spans="2:136" x14ac:dyDescent="0.2">
      <c r="B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U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43"/>
      <c r="DP500" s="43"/>
      <c r="DQ500" s="43"/>
      <c r="DR500" s="43"/>
      <c r="DS500" s="43"/>
      <c r="DT500" s="43"/>
      <c r="DU500" s="43"/>
      <c r="DV500" s="43"/>
      <c r="DW500" s="43"/>
      <c r="DX500" s="7"/>
      <c r="DY500" s="145"/>
      <c r="DZ500" s="7"/>
      <c r="EA500" s="145"/>
      <c r="EB500" s="7"/>
      <c r="EC500" s="145"/>
      <c r="ED500" s="7"/>
      <c r="EE500" s="145"/>
      <c r="EF500" s="7"/>
    </row>
    <row r="501" spans="2:136" x14ac:dyDescent="0.2">
      <c r="B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U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43"/>
      <c r="DP501" s="43"/>
      <c r="DQ501" s="43"/>
      <c r="DR501" s="43"/>
      <c r="DS501" s="43"/>
      <c r="DT501" s="43"/>
      <c r="DU501" s="43"/>
      <c r="DV501" s="43"/>
      <c r="DW501" s="43"/>
      <c r="DX501" s="7"/>
      <c r="DY501" s="145"/>
      <c r="DZ501" s="7"/>
      <c r="EA501" s="145"/>
      <c r="EB501" s="7"/>
      <c r="EC501" s="145"/>
      <c r="ED501" s="7"/>
      <c r="EE501" s="145"/>
      <c r="EF501" s="7"/>
    </row>
    <row r="502" spans="2:136" x14ac:dyDescent="0.2">
      <c r="B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U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43"/>
      <c r="DP502" s="43"/>
      <c r="DQ502" s="43"/>
      <c r="DR502" s="43"/>
      <c r="DS502" s="43"/>
      <c r="DT502" s="43"/>
      <c r="DU502" s="43"/>
      <c r="DV502" s="43"/>
      <c r="DW502" s="43"/>
      <c r="DX502" s="7"/>
      <c r="DY502" s="145"/>
      <c r="DZ502" s="7"/>
      <c r="EA502" s="145"/>
      <c r="EB502" s="7"/>
      <c r="EC502" s="145"/>
      <c r="ED502" s="7"/>
      <c r="EE502" s="145"/>
      <c r="EF502" s="7"/>
    </row>
    <row r="503" spans="2:136" x14ac:dyDescent="0.2">
      <c r="B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U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43"/>
      <c r="DP503" s="43"/>
      <c r="DQ503" s="43"/>
      <c r="DR503" s="43"/>
      <c r="DS503" s="43"/>
      <c r="DT503" s="43"/>
      <c r="DU503" s="43"/>
      <c r="DV503" s="43"/>
      <c r="DW503" s="43"/>
      <c r="DX503" s="7"/>
      <c r="DY503" s="145"/>
      <c r="DZ503" s="7"/>
      <c r="EA503" s="145"/>
      <c r="EB503" s="7"/>
      <c r="EC503" s="145"/>
      <c r="ED503" s="7"/>
      <c r="EE503" s="145"/>
      <c r="EF503" s="7"/>
    </row>
    <row r="504" spans="2:136" x14ac:dyDescent="0.2">
      <c r="B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U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43"/>
      <c r="DP504" s="43"/>
      <c r="DQ504" s="43"/>
      <c r="DR504" s="43"/>
      <c r="DS504" s="43"/>
      <c r="DT504" s="43"/>
      <c r="DU504" s="43"/>
      <c r="DV504" s="43"/>
      <c r="DW504" s="43"/>
      <c r="DX504" s="7"/>
      <c r="DY504" s="145"/>
      <c r="DZ504" s="7"/>
      <c r="EA504" s="145"/>
      <c r="EB504" s="7"/>
      <c r="EC504" s="145"/>
      <c r="ED504" s="7"/>
      <c r="EE504" s="145"/>
      <c r="EF504" s="7"/>
    </row>
    <row r="505" spans="2:136" x14ac:dyDescent="0.2">
      <c r="B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U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43"/>
      <c r="DP505" s="43"/>
      <c r="DQ505" s="43"/>
      <c r="DR505" s="43"/>
      <c r="DS505" s="43"/>
      <c r="DT505" s="43"/>
      <c r="DU505" s="43"/>
      <c r="DV505" s="43"/>
      <c r="DW505" s="43"/>
      <c r="DX505" s="7"/>
      <c r="DY505" s="145"/>
      <c r="DZ505" s="7"/>
      <c r="EA505" s="145"/>
      <c r="EB505" s="7"/>
      <c r="EC505" s="145"/>
      <c r="ED505" s="7"/>
      <c r="EE505" s="145"/>
      <c r="EF505" s="7"/>
    </row>
    <row r="506" spans="2:136" x14ac:dyDescent="0.2">
      <c r="B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U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43"/>
      <c r="DP506" s="43"/>
      <c r="DQ506" s="43"/>
      <c r="DR506" s="43"/>
      <c r="DS506" s="43"/>
      <c r="DT506" s="43"/>
      <c r="DU506" s="43"/>
      <c r="DV506" s="43"/>
      <c r="DW506" s="43"/>
      <c r="DX506" s="7"/>
      <c r="DY506" s="145"/>
      <c r="DZ506" s="7"/>
      <c r="EA506" s="145"/>
      <c r="EB506" s="7"/>
      <c r="EC506" s="145"/>
      <c r="ED506" s="7"/>
      <c r="EE506" s="145"/>
      <c r="EF506" s="7"/>
    </row>
    <row r="507" spans="2:136" x14ac:dyDescent="0.2">
      <c r="B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U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43"/>
      <c r="DP507" s="43"/>
      <c r="DQ507" s="43"/>
      <c r="DR507" s="43"/>
      <c r="DS507" s="43"/>
      <c r="DT507" s="43"/>
      <c r="DU507" s="43"/>
      <c r="DV507" s="43"/>
      <c r="DW507" s="43"/>
      <c r="DX507" s="7"/>
      <c r="DY507" s="145"/>
      <c r="DZ507" s="7"/>
      <c r="EA507" s="145"/>
      <c r="EB507" s="7"/>
      <c r="EC507" s="145"/>
      <c r="ED507" s="7"/>
      <c r="EE507" s="145"/>
      <c r="EF507" s="7"/>
    </row>
    <row r="508" spans="2:136" x14ac:dyDescent="0.2">
      <c r="B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U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43"/>
      <c r="DP508" s="43"/>
      <c r="DQ508" s="43"/>
      <c r="DR508" s="43"/>
      <c r="DS508" s="43"/>
      <c r="DT508" s="43"/>
      <c r="DU508" s="43"/>
      <c r="DV508" s="43"/>
      <c r="DW508" s="43"/>
      <c r="DX508" s="7"/>
      <c r="DY508" s="145"/>
      <c r="DZ508" s="7"/>
      <c r="EA508" s="145"/>
      <c r="EB508" s="7"/>
      <c r="EC508" s="145"/>
      <c r="ED508" s="7"/>
      <c r="EE508" s="145"/>
      <c r="EF508" s="7"/>
    </row>
    <row r="509" spans="2:136" x14ac:dyDescent="0.2">
      <c r="B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U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43"/>
      <c r="DP509" s="43"/>
      <c r="DQ509" s="43"/>
      <c r="DR509" s="43"/>
      <c r="DS509" s="43"/>
      <c r="DT509" s="43"/>
      <c r="DU509" s="43"/>
      <c r="DV509" s="43"/>
      <c r="DW509" s="43"/>
      <c r="DX509" s="7"/>
      <c r="DY509" s="145"/>
      <c r="DZ509" s="7"/>
      <c r="EA509" s="145"/>
      <c r="EB509" s="7"/>
      <c r="EC509" s="145"/>
      <c r="ED509" s="7"/>
      <c r="EE509" s="145"/>
      <c r="EF509" s="7"/>
    </row>
    <row r="510" spans="2:136" x14ac:dyDescent="0.2">
      <c r="B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U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43"/>
      <c r="DP510" s="43"/>
      <c r="DQ510" s="43"/>
      <c r="DR510" s="43"/>
      <c r="DS510" s="43"/>
      <c r="DT510" s="43"/>
      <c r="DU510" s="43"/>
      <c r="DV510" s="43"/>
      <c r="DW510" s="43"/>
      <c r="DX510" s="7"/>
      <c r="DY510" s="145"/>
      <c r="DZ510" s="7"/>
      <c r="EA510" s="145"/>
      <c r="EB510" s="7"/>
      <c r="EC510" s="145"/>
      <c r="ED510" s="7"/>
      <c r="EE510" s="145"/>
      <c r="EF510" s="7"/>
    </row>
    <row r="511" spans="2:136" x14ac:dyDescent="0.2">
      <c r="B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U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43"/>
      <c r="DP511" s="43"/>
      <c r="DQ511" s="43"/>
      <c r="DR511" s="43"/>
      <c r="DS511" s="43"/>
      <c r="DT511" s="43"/>
      <c r="DU511" s="43"/>
      <c r="DV511" s="43"/>
      <c r="DW511" s="43"/>
      <c r="DX511" s="7"/>
      <c r="DY511" s="145"/>
      <c r="DZ511" s="7"/>
      <c r="EA511" s="145"/>
      <c r="EB511" s="7"/>
      <c r="EC511" s="145"/>
      <c r="ED511" s="7"/>
      <c r="EE511" s="145"/>
      <c r="EF511" s="7"/>
    </row>
    <row r="512" spans="2:136" x14ac:dyDescent="0.2">
      <c r="B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U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43"/>
      <c r="DP512" s="43"/>
      <c r="DQ512" s="43"/>
      <c r="DR512" s="43"/>
      <c r="DS512" s="43"/>
      <c r="DT512" s="43"/>
      <c r="DU512" s="43"/>
      <c r="DV512" s="43"/>
      <c r="DW512" s="43"/>
      <c r="DX512" s="7"/>
      <c r="DY512" s="145"/>
      <c r="DZ512" s="7"/>
      <c r="EA512" s="145"/>
      <c r="EB512" s="7"/>
      <c r="EC512" s="145"/>
      <c r="ED512" s="7"/>
      <c r="EE512" s="145"/>
      <c r="EF512" s="7"/>
    </row>
    <row r="513" spans="2:136" x14ac:dyDescent="0.2">
      <c r="B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U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43"/>
      <c r="DP513" s="43"/>
      <c r="DQ513" s="43"/>
      <c r="DR513" s="43"/>
      <c r="DS513" s="43"/>
      <c r="DT513" s="43"/>
      <c r="DU513" s="43"/>
      <c r="DV513" s="43"/>
      <c r="DW513" s="43"/>
      <c r="DX513" s="7"/>
      <c r="DY513" s="145"/>
      <c r="DZ513" s="7"/>
      <c r="EA513" s="145"/>
      <c r="EB513" s="7"/>
      <c r="EC513" s="145"/>
      <c r="ED513" s="7"/>
      <c r="EE513" s="145"/>
      <c r="EF513" s="7"/>
    </row>
    <row r="514" spans="2:136" x14ac:dyDescent="0.2">
      <c r="B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U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43"/>
      <c r="DP514" s="43"/>
      <c r="DQ514" s="43"/>
      <c r="DR514" s="43"/>
      <c r="DS514" s="43"/>
      <c r="DT514" s="43"/>
      <c r="DU514" s="43"/>
      <c r="DV514" s="43"/>
      <c r="DW514" s="43"/>
      <c r="DX514" s="7"/>
      <c r="DY514" s="145"/>
      <c r="DZ514" s="7"/>
      <c r="EA514" s="145"/>
      <c r="EB514" s="7"/>
      <c r="EC514" s="145"/>
      <c r="ED514" s="7"/>
      <c r="EE514" s="145"/>
      <c r="EF514" s="7"/>
    </row>
    <row r="515" spans="2:136" x14ac:dyDescent="0.2">
      <c r="B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U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43"/>
      <c r="DP515" s="43"/>
      <c r="DQ515" s="43"/>
      <c r="DR515" s="43"/>
      <c r="DS515" s="43"/>
      <c r="DT515" s="43"/>
      <c r="DU515" s="43"/>
      <c r="DV515" s="43"/>
      <c r="DW515" s="43"/>
      <c r="DX515" s="7"/>
      <c r="DY515" s="145"/>
      <c r="DZ515" s="7"/>
      <c r="EA515" s="145"/>
      <c r="EB515" s="7"/>
      <c r="EC515" s="145"/>
      <c r="ED515" s="7"/>
      <c r="EE515" s="145"/>
      <c r="EF515" s="7"/>
    </row>
    <row r="516" spans="2:136" x14ac:dyDescent="0.2">
      <c r="B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U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43"/>
      <c r="DP516" s="43"/>
      <c r="DQ516" s="43"/>
      <c r="DR516" s="43"/>
      <c r="DS516" s="43"/>
      <c r="DT516" s="43"/>
      <c r="DU516" s="43"/>
      <c r="DV516" s="43"/>
      <c r="DW516" s="43"/>
      <c r="DX516" s="7"/>
      <c r="DY516" s="145"/>
      <c r="DZ516" s="7"/>
      <c r="EA516" s="145"/>
      <c r="EB516" s="7"/>
      <c r="EC516" s="145"/>
      <c r="ED516" s="7"/>
      <c r="EE516" s="145"/>
      <c r="EF516" s="7"/>
    </row>
    <row r="517" spans="2:136" x14ac:dyDescent="0.2">
      <c r="B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U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43"/>
      <c r="DP517" s="43"/>
      <c r="DQ517" s="43"/>
      <c r="DR517" s="43"/>
      <c r="DS517" s="43"/>
      <c r="DT517" s="43"/>
      <c r="DU517" s="43"/>
      <c r="DV517" s="43"/>
      <c r="DW517" s="43"/>
      <c r="DX517" s="7"/>
      <c r="DY517" s="145"/>
      <c r="DZ517" s="7"/>
      <c r="EA517" s="145"/>
      <c r="EB517" s="7"/>
      <c r="EC517" s="145"/>
      <c r="ED517" s="7"/>
      <c r="EE517" s="145"/>
      <c r="EF517" s="7"/>
    </row>
    <row r="518" spans="2:136" x14ac:dyDescent="0.2">
      <c r="B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U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43"/>
      <c r="DP518" s="43"/>
      <c r="DQ518" s="43"/>
      <c r="DR518" s="43"/>
      <c r="DS518" s="43"/>
      <c r="DT518" s="43"/>
      <c r="DU518" s="43"/>
      <c r="DV518" s="43"/>
      <c r="DW518" s="43"/>
      <c r="DX518" s="7"/>
      <c r="DY518" s="145"/>
      <c r="DZ518" s="7"/>
      <c r="EA518" s="145"/>
      <c r="EB518" s="7"/>
      <c r="EC518" s="145"/>
      <c r="ED518" s="7"/>
      <c r="EE518" s="145"/>
      <c r="EF518" s="7"/>
    </row>
    <row r="519" spans="2:136" x14ac:dyDescent="0.2">
      <c r="B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U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43"/>
      <c r="DP519" s="43"/>
      <c r="DQ519" s="43"/>
      <c r="DR519" s="43"/>
      <c r="DS519" s="43"/>
      <c r="DT519" s="43"/>
      <c r="DU519" s="43"/>
      <c r="DV519" s="43"/>
      <c r="DW519" s="43"/>
      <c r="DX519" s="7"/>
      <c r="DY519" s="145"/>
      <c r="DZ519" s="7"/>
      <c r="EA519" s="145"/>
      <c r="EB519" s="7"/>
      <c r="EC519" s="145"/>
      <c r="ED519" s="7"/>
      <c r="EE519" s="145"/>
      <c r="EF519" s="7"/>
    </row>
    <row r="520" spans="2:136" x14ac:dyDescent="0.2">
      <c r="B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U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43"/>
      <c r="DP520" s="43"/>
      <c r="DQ520" s="43"/>
      <c r="DR520" s="43"/>
      <c r="DS520" s="43"/>
      <c r="DT520" s="43"/>
      <c r="DU520" s="43"/>
      <c r="DV520" s="43"/>
      <c r="DW520" s="43"/>
      <c r="DX520" s="7"/>
      <c r="DY520" s="145"/>
      <c r="DZ520" s="7"/>
      <c r="EA520" s="145"/>
      <c r="EB520" s="7"/>
      <c r="EC520" s="145"/>
      <c r="ED520" s="7"/>
      <c r="EE520" s="145"/>
      <c r="EF520" s="7"/>
    </row>
    <row r="521" spans="2:136" x14ac:dyDescent="0.2">
      <c r="B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U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43"/>
      <c r="DP521" s="43"/>
      <c r="DQ521" s="43"/>
      <c r="DR521" s="43"/>
      <c r="DS521" s="43"/>
      <c r="DT521" s="43"/>
      <c r="DU521" s="43"/>
      <c r="DV521" s="43"/>
      <c r="DW521" s="43"/>
      <c r="DX521" s="7"/>
      <c r="DY521" s="145"/>
      <c r="DZ521" s="7"/>
      <c r="EA521" s="145"/>
      <c r="EB521" s="7"/>
      <c r="EC521" s="145"/>
      <c r="ED521" s="7"/>
      <c r="EE521" s="145"/>
      <c r="EF521" s="7"/>
    </row>
    <row r="522" spans="2:136" x14ac:dyDescent="0.2">
      <c r="B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U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43"/>
      <c r="DP522" s="43"/>
      <c r="DQ522" s="43"/>
      <c r="DR522" s="43"/>
      <c r="DS522" s="43"/>
      <c r="DT522" s="43"/>
      <c r="DU522" s="43"/>
      <c r="DV522" s="43"/>
      <c r="DW522" s="43"/>
      <c r="DX522" s="7"/>
      <c r="DY522" s="145"/>
      <c r="DZ522" s="7"/>
      <c r="EA522" s="145"/>
      <c r="EB522" s="7"/>
      <c r="EC522" s="145"/>
      <c r="ED522" s="7"/>
      <c r="EE522" s="145"/>
      <c r="EF522" s="7"/>
    </row>
    <row r="523" spans="2:136" x14ac:dyDescent="0.2">
      <c r="B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U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43"/>
      <c r="DP523" s="43"/>
      <c r="DQ523" s="43"/>
      <c r="DR523" s="43"/>
      <c r="DS523" s="43"/>
      <c r="DT523" s="43"/>
      <c r="DU523" s="43"/>
      <c r="DV523" s="43"/>
      <c r="DW523" s="43"/>
      <c r="DX523" s="7"/>
      <c r="DY523" s="145"/>
      <c r="DZ523" s="7"/>
      <c r="EA523" s="145"/>
      <c r="EB523" s="7"/>
      <c r="EC523" s="145"/>
      <c r="ED523" s="7"/>
      <c r="EE523" s="145"/>
      <c r="EF523" s="7"/>
    </row>
    <row r="524" spans="2:136" x14ac:dyDescent="0.2">
      <c r="B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U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43"/>
      <c r="DP524" s="43"/>
      <c r="DQ524" s="43"/>
      <c r="DR524" s="43"/>
      <c r="DS524" s="43"/>
      <c r="DT524" s="43"/>
      <c r="DU524" s="43"/>
      <c r="DV524" s="43"/>
      <c r="DW524" s="43"/>
      <c r="DX524" s="7"/>
      <c r="DY524" s="145"/>
      <c r="DZ524" s="7"/>
      <c r="EA524" s="145"/>
      <c r="EB524" s="7"/>
      <c r="EC524" s="145"/>
      <c r="ED524" s="7"/>
      <c r="EE524" s="145"/>
      <c r="EF524" s="7"/>
    </row>
    <row r="525" spans="2:136" x14ac:dyDescent="0.2">
      <c r="B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U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43"/>
      <c r="DP525" s="43"/>
      <c r="DQ525" s="43"/>
      <c r="DR525" s="43"/>
      <c r="DS525" s="43"/>
      <c r="DT525" s="43"/>
      <c r="DU525" s="43"/>
      <c r="DV525" s="43"/>
      <c r="DW525" s="43"/>
      <c r="DX525" s="7"/>
      <c r="DY525" s="145"/>
      <c r="DZ525" s="7"/>
      <c r="EA525" s="145"/>
      <c r="EB525" s="7"/>
      <c r="EC525" s="145"/>
      <c r="ED525" s="7"/>
      <c r="EE525" s="145"/>
      <c r="EF525" s="7"/>
    </row>
    <row r="526" spans="2:136" x14ac:dyDescent="0.2">
      <c r="B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U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43"/>
      <c r="DP526" s="43"/>
      <c r="DQ526" s="43"/>
      <c r="DR526" s="43"/>
      <c r="DS526" s="43"/>
      <c r="DT526" s="43"/>
      <c r="DU526" s="43"/>
      <c r="DV526" s="43"/>
      <c r="DW526" s="43"/>
      <c r="DX526" s="7"/>
      <c r="DY526" s="145"/>
      <c r="DZ526" s="7"/>
      <c r="EA526" s="145"/>
      <c r="EB526" s="7"/>
      <c r="EC526" s="145"/>
      <c r="ED526" s="7"/>
      <c r="EE526" s="145"/>
      <c r="EF526" s="7"/>
    </row>
    <row r="527" spans="2:136" x14ac:dyDescent="0.2">
      <c r="B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U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43"/>
      <c r="DP527" s="43"/>
      <c r="DQ527" s="43"/>
      <c r="DR527" s="43"/>
      <c r="DS527" s="43"/>
      <c r="DT527" s="43"/>
      <c r="DU527" s="43"/>
      <c r="DV527" s="43"/>
      <c r="DW527" s="43"/>
      <c r="DX527" s="7"/>
      <c r="DY527" s="145"/>
      <c r="DZ527" s="7"/>
      <c r="EA527" s="145"/>
      <c r="EB527" s="7"/>
      <c r="EC527" s="145"/>
      <c r="ED527" s="7"/>
      <c r="EE527" s="145"/>
      <c r="EF527" s="7"/>
    </row>
    <row r="528" spans="2:136" x14ac:dyDescent="0.2">
      <c r="B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U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43"/>
      <c r="DP528" s="43"/>
      <c r="DQ528" s="43"/>
      <c r="DR528" s="43"/>
      <c r="DS528" s="43"/>
      <c r="DT528" s="43"/>
      <c r="DU528" s="43"/>
      <c r="DV528" s="43"/>
      <c r="DW528" s="43"/>
      <c r="DX528" s="7"/>
      <c r="DY528" s="145"/>
      <c r="DZ528" s="7"/>
      <c r="EA528" s="145"/>
      <c r="EB528" s="7"/>
      <c r="EC528" s="145"/>
      <c r="ED528" s="7"/>
      <c r="EE528" s="145"/>
      <c r="EF528" s="7"/>
    </row>
    <row r="529" spans="2:136" x14ac:dyDescent="0.2">
      <c r="B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U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43"/>
      <c r="DP529" s="43"/>
      <c r="DQ529" s="43"/>
      <c r="DR529" s="43"/>
      <c r="DS529" s="43"/>
      <c r="DT529" s="43"/>
      <c r="DU529" s="43"/>
      <c r="DV529" s="43"/>
      <c r="DW529" s="43"/>
      <c r="DX529" s="7"/>
      <c r="DY529" s="145"/>
      <c r="DZ529" s="7"/>
      <c r="EA529" s="145"/>
      <c r="EB529" s="7"/>
      <c r="EC529" s="145"/>
      <c r="ED529" s="7"/>
      <c r="EE529" s="145"/>
      <c r="EF529" s="7"/>
    </row>
    <row r="530" spans="2:136" x14ac:dyDescent="0.2">
      <c r="B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U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43"/>
      <c r="DP530" s="43"/>
      <c r="DQ530" s="43"/>
      <c r="DR530" s="43"/>
      <c r="DS530" s="43"/>
      <c r="DT530" s="43"/>
      <c r="DU530" s="43"/>
      <c r="DV530" s="43"/>
      <c r="DW530" s="43"/>
      <c r="DX530" s="7"/>
      <c r="DY530" s="145"/>
      <c r="DZ530" s="7"/>
      <c r="EA530" s="145"/>
      <c r="EB530" s="7"/>
      <c r="EC530" s="145"/>
      <c r="ED530" s="7"/>
      <c r="EE530" s="145"/>
      <c r="EF530" s="7"/>
    </row>
    <row r="531" spans="2:136" x14ac:dyDescent="0.2">
      <c r="B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U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43"/>
      <c r="DP531" s="43"/>
      <c r="DQ531" s="43"/>
      <c r="DR531" s="43"/>
      <c r="DS531" s="43"/>
      <c r="DT531" s="43"/>
      <c r="DU531" s="43"/>
      <c r="DV531" s="43"/>
      <c r="DW531" s="43"/>
      <c r="DX531" s="7"/>
      <c r="DY531" s="145"/>
      <c r="DZ531" s="7"/>
      <c r="EA531" s="145"/>
      <c r="EB531" s="7"/>
      <c r="EC531" s="145"/>
      <c r="ED531" s="7"/>
      <c r="EE531" s="145"/>
      <c r="EF531" s="7"/>
    </row>
    <row r="532" spans="2:136" x14ac:dyDescent="0.2">
      <c r="B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U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43"/>
      <c r="DP532" s="43"/>
      <c r="DQ532" s="43"/>
      <c r="DR532" s="43"/>
      <c r="DS532" s="43"/>
      <c r="DT532" s="43"/>
      <c r="DU532" s="43"/>
      <c r="DV532" s="43"/>
      <c r="DW532" s="43"/>
      <c r="DX532" s="7"/>
      <c r="DY532" s="145"/>
      <c r="DZ532" s="7"/>
      <c r="EA532" s="145"/>
      <c r="EB532" s="7"/>
      <c r="EC532" s="145"/>
      <c r="ED532" s="7"/>
      <c r="EE532" s="145"/>
      <c r="EF532" s="7"/>
    </row>
    <row r="533" spans="2:136" x14ac:dyDescent="0.2">
      <c r="B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U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43"/>
      <c r="DP533" s="43"/>
      <c r="DQ533" s="43"/>
      <c r="DR533" s="43"/>
      <c r="DS533" s="43"/>
      <c r="DT533" s="43"/>
      <c r="DU533" s="43"/>
      <c r="DV533" s="43"/>
      <c r="DW533" s="43"/>
      <c r="DX533" s="7"/>
      <c r="DY533" s="145"/>
      <c r="DZ533" s="7"/>
      <c r="EA533" s="145"/>
      <c r="EB533" s="7"/>
      <c r="EC533" s="145"/>
      <c r="ED533" s="7"/>
      <c r="EE533" s="145"/>
      <c r="EF533" s="7"/>
    </row>
    <row r="534" spans="2:136" x14ac:dyDescent="0.2">
      <c r="B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U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43"/>
      <c r="DP534" s="43"/>
      <c r="DQ534" s="43"/>
      <c r="DR534" s="43"/>
      <c r="DS534" s="43"/>
      <c r="DT534" s="43"/>
      <c r="DU534" s="43"/>
      <c r="DV534" s="43"/>
      <c r="DW534" s="43"/>
      <c r="DX534" s="7"/>
      <c r="DY534" s="145"/>
      <c r="DZ534" s="7"/>
      <c r="EA534" s="145"/>
      <c r="EB534" s="7"/>
      <c r="EC534" s="145"/>
      <c r="ED534" s="7"/>
      <c r="EE534" s="145"/>
      <c r="EF534" s="7"/>
    </row>
    <row r="535" spans="2:136" x14ac:dyDescent="0.2">
      <c r="B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U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43"/>
      <c r="DP535" s="43"/>
      <c r="DQ535" s="43"/>
      <c r="DR535" s="43"/>
      <c r="DS535" s="43"/>
      <c r="DT535" s="43"/>
      <c r="DU535" s="43"/>
      <c r="DV535" s="43"/>
      <c r="DW535" s="43"/>
      <c r="DX535" s="7"/>
      <c r="DY535" s="145"/>
      <c r="DZ535" s="7"/>
      <c r="EA535" s="145"/>
      <c r="EB535" s="7"/>
      <c r="EC535" s="145"/>
      <c r="ED535" s="7"/>
      <c r="EE535" s="145"/>
      <c r="EF535" s="7"/>
    </row>
    <row r="536" spans="2:136" x14ac:dyDescent="0.2">
      <c r="B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U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43"/>
      <c r="DP536" s="43"/>
      <c r="DQ536" s="43"/>
      <c r="DR536" s="43"/>
      <c r="DS536" s="43"/>
      <c r="DT536" s="43"/>
      <c r="DU536" s="43"/>
      <c r="DV536" s="43"/>
      <c r="DW536" s="43"/>
      <c r="DX536" s="7"/>
      <c r="DY536" s="145"/>
      <c r="DZ536" s="7"/>
      <c r="EA536" s="145"/>
      <c r="EB536" s="7"/>
      <c r="EC536" s="145"/>
      <c r="ED536" s="7"/>
      <c r="EE536" s="145"/>
      <c r="EF536" s="7"/>
    </row>
    <row r="537" spans="2:136" x14ac:dyDescent="0.2">
      <c r="B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U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43"/>
      <c r="DP537" s="43"/>
      <c r="DQ537" s="43"/>
      <c r="DR537" s="43"/>
      <c r="DS537" s="43"/>
      <c r="DT537" s="43"/>
      <c r="DU537" s="43"/>
      <c r="DV537" s="43"/>
      <c r="DW537" s="43"/>
      <c r="DX537" s="7"/>
      <c r="DY537" s="145"/>
      <c r="DZ537" s="7"/>
      <c r="EA537" s="145"/>
      <c r="EB537" s="7"/>
      <c r="EC537" s="145"/>
      <c r="ED537" s="7"/>
      <c r="EE537" s="145"/>
      <c r="EF537" s="7"/>
    </row>
    <row r="538" spans="2:136" x14ac:dyDescent="0.2">
      <c r="B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U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43"/>
      <c r="DP538" s="43"/>
      <c r="DQ538" s="43"/>
      <c r="DR538" s="43"/>
      <c r="DS538" s="43"/>
      <c r="DT538" s="43"/>
      <c r="DU538" s="43"/>
      <c r="DV538" s="43"/>
      <c r="DW538" s="43"/>
      <c r="DX538" s="7"/>
      <c r="DY538" s="145"/>
      <c r="DZ538" s="7"/>
      <c r="EA538" s="145"/>
      <c r="EB538" s="7"/>
      <c r="EC538" s="145"/>
      <c r="ED538" s="7"/>
      <c r="EE538" s="145"/>
      <c r="EF538" s="7"/>
    </row>
    <row r="539" spans="2:136" x14ac:dyDescent="0.2">
      <c r="B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U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43"/>
      <c r="DP539" s="43"/>
      <c r="DQ539" s="43"/>
      <c r="DR539" s="43"/>
      <c r="DS539" s="43"/>
      <c r="DT539" s="43"/>
      <c r="DU539" s="43"/>
      <c r="DV539" s="43"/>
      <c r="DW539" s="43"/>
      <c r="DX539" s="7"/>
      <c r="DY539" s="145"/>
      <c r="DZ539" s="7"/>
      <c r="EA539" s="145"/>
      <c r="EB539" s="7"/>
      <c r="EC539" s="145"/>
      <c r="ED539" s="7"/>
      <c r="EE539" s="145"/>
      <c r="EF539" s="7"/>
    </row>
    <row r="540" spans="2:136" x14ac:dyDescent="0.2">
      <c r="B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U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43"/>
      <c r="DP540" s="43"/>
      <c r="DQ540" s="43"/>
      <c r="DR540" s="43"/>
      <c r="DS540" s="43"/>
      <c r="DT540" s="43"/>
      <c r="DU540" s="43"/>
      <c r="DV540" s="43"/>
      <c r="DW540" s="43"/>
      <c r="DX540" s="7"/>
      <c r="DY540" s="145"/>
      <c r="DZ540" s="7"/>
      <c r="EA540" s="145"/>
      <c r="EB540" s="7"/>
      <c r="EC540" s="145"/>
      <c r="ED540" s="7"/>
      <c r="EE540" s="145"/>
      <c r="EF540" s="7"/>
    </row>
    <row r="541" spans="2:136" x14ac:dyDescent="0.2">
      <c r="B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U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43"/>
      <c r="DP541" s="43"/>
      <c r="DQ541" s="43"/>
      <c r="DR541" s="43"/>
      <c r="DS541" s="43"/>
      <c r="DT541" s="43"/>
      <c r="DU541" s="43"/>
      <c r="DV541" s="43"/>
      <c r="DW541" s="43"/>
      <c r="DX541" s="7"/>
      <c r="DY541" s="145"/>
      <c r="DZ541" s="7"/>
      <c r="EA541" s="145"/>
      <c r="EB541" s="7"/>
      <c r="EC541" s="145"/>
      <c r="ED541" s="7"/>
      <c r="EE541" s="145"/>
      <c r="EF541" s="7"/>
    </row>
    <row r="542" spans="2:136" x14ac:dyDescent="0.2">
      <c r="B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U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43"/>
      <c r="DP542" s="43"/>
      <c r="DQ542" s="43"/>
      <c r="DR542" s="43"/>
      <c r="DS542" s="43"/>
      <c r="DT542" s="43"/>
      <c r="DU542" s="43"/>
      <c r="DV542" s="43"/>
      <c r="DW542" s="43"/>
      <c r="DX542" s="7"/>
      <c r="DY542" s="145"/>
      <c r="DZ542" s="7"/>
      <c r="EA542" s="145"/>
      <c r="EB542" s="7"/>
      <c r="EC542" s="145"/>
      <c r="ED542" s="7"/>
      <c r="EE542" s="145"/>
      <c r="EF542" s="7"/>
    </row>
    <row r="543" spans="2:136" x14ac:dyDescent="0.2">
      <c r="B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U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43"/>
      <c r="DP543" s="43"/>
      <c r="DQ543" s="43"/>
      <c r="DR543" s="43"/>
      <c r="DS543" s="43"/>
      <c r="DT543" s="43"/>
      <c r="DU543" s="43"/>
      <c r="DV543" s="43"/>
      <c r="DW543" s="43"/>
      <c r="DX543" s="7"/>
      <c r="DY543" s="145"/>
      <c r="DZ543" s="7"/>
      <c r="EA543" s="145"/>
      <c r="EB543" s="7"/>
      <c r="EC543" s="145"/>
      <c r="ED543" s="7"/>
      <c r="EE543" s="145"/>
      <c r="EF543" s="7"/>
    </row>
    <row r="544" spans="2:136" x14ac:dyDescent="0.2">
      <c r="B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U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43"/>
      <c r="DP544" s="43"/>
      <c r="DQ544" s="43"/>
      <c r="DR544" s="43"/>
      <c r="DS544" s="43"/>
      <c r="DT544" s="43"/>
      <c r="DU544" s="43"/>
      <c r="DV544" s="43"/>
      <c r="DW544" s="43"/>
      <c r="DX544" s="7"/>
      <c r="DY544" s="145"/>
      <c r="DZ544" s="7"/>
      <c r="EA544" s="145"/>
      <c r="EB544" s="7"/>
      <c r="EC544" s="145"/>
      <c r="ED544" s="7"/>
      <c r="EE544" s="145"/>
      <c r="EF544" s="7"/>
    </row>
    <row r="545" spans="2:136" x14ac:dyDescent="0.2">
      <c r="B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U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43"/>
      <c r="DP545" s="43"/>
      <c r="DQ545" s="43"/>
      <c r="DR545" s="43"/>
      <c r="DS545" s="43"/>
      <c r="DT545" s="43"/>
      <c r="DU545" s="43"/>
      <c r="DV545" s="43"/>
      <c r="DW545" s="43"/>
      <c r="DX545" s="7"/>
      <c r="DY545" s="145"/>
      <c r="DZ545" s="7"/>
      <c r="EA545" s="145"/>
      <c r="EB545" s="7"/>
      <c r="EC545" s="145"/>
      <c r="ED545" s="7"/>
      <c r="EE545" s="145"/>
      <c r="EF545" s="7"/>
    </row>
    <row r="546" spans="2:136" x14ac:dyDescent="0.2">
      <c r="B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U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43"/>
      <c r="DP546" s="43"/>
      <c r="DQ546" s="43"/>
      <c r="DR546" s="43"/>
      <c r="DS546" s="43"/>
      <c r="DT546" s="43"/>
      <c r="DU546" s="43"/>
      <c r="DV546" s="43"/>
      <c r="DW546" s="43"/>
      <c r="DX546" s="7"/>
      <c r="DY546" s="145"/>
      <c r="DZ546" s="7"/>
      <c r="EA546" s="145"/>
      <c r="EB546" s="7"/>
      <c r="EC546" s="145"/>
      <c r="ED546" s="7"/>
      <c r="EE546" s="145"/>
      <c r="EF546" s="7"/>
    </row>
    <row r="547" spans="2:136" x14ac:dyDescent="0.2">
      <c r="B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U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43"/>
      <c r="DP547" s="43"/>
      <c r="DQ547" s="43"/>
      <c r="DR547" s="43"/>
      <c r="DS547" s="43"/>
      <c r="DT547" s="43"/>
      <c r="DU547" s="43"/>
      <c r="DV547" s="43"/>
      <c r="DW547" s="43"/>
      <c r="DX547" s="7"/>
      <c r="DY547" s="145"/>
      <c r="DZ547" s="7"/>
      <c r="EA547" s="145"/>
      <c r="EB547" s="7"/>
      <c r="EC547" s="145"/>
      <c r="ED547" s="7"/>
      <c r="EE547" s="145"/>
      <c r="EF547" s="7"/>
    </row>
    <row r="548" spans="2:136" x14ac:dyDescent="0.2">
      <c r="B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U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43"/>
      <c r="DP548" s="43"/>
      <c r="DQ548" s="43"/>
      <c r="DR548" s="43"/>
      <c r="DS548" s="43"/>
      <c r="DT548" s="43"/>
      <c r="DU548" s="43"/>
      <c r="DV548" s="43"/>
      <c r="DW548" s="43"/>
      <c r="DX548" s="7"/>
      <c r="DY548" s="145"/>
      <c r="DZ548" s="7"/>
      <c r="EA548" s="145"/>
      <c r="EB548" s="7"/>
      <c r="EC548" s="145"/>
      <c r="ED548" s="7"/>
      <c r="EE548" s="145"/>
      <c r="EF548" s="7"/>
    </row>
    <row r="549" spans="2:136" x14ac:dyDescent="0.2">
      <c r="B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U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43"/>
      <c r="DP549" s="43"/>
      <c r="DQ549" s="43"/>
      <c r="DR549" s="43"/>
      <c r="DS549" s="43"/>
      <c r="DT549" s="43"/>
      <c r="DU549" s="43"/>
      <c r="DV549" s="43"/>
      <c r="DW549" s="43"/>
      <c r="DX549" s="7"/>
      <c r="DY549" s="145"/>
      <c r="DZ549" s="7"/>
      <c r="EA549" s="145"/>
      <c r="EB549" s="7"/>
      <c r="EC549" s="145"/>
      <c r="ED549" s="7"/>
      <c r="EE549" s="145"/>
      <c r="EF549" s="7"/>
    </row>
    <row r="550" spans="2:136" x14ac:dyDescent="0.2">
      <c r="B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U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43"/>
      <c r="DP550" s="43"/>
      <c r="DQ550" s="43"/>
      <c r="DR550" s="43"/>
      <c r="DS550" s="43"/>
      <c r="DT550" s="43"/>
      <c r="DU550" s="43"/>
      <c r="DV550" s="43"/>
      <c r="DW550" s="43"/>
      <c r="DX550" s="7"/>
      <c r="DY550" s="145"/>
      <c r="DZ550" s="7"/>
      <c r="EA550" s="145"/>
      <c r="EB550" s="7"/>
      <c r="EC550" s="145"/>
      <c r="ED550" s="7"/>
      <c r="EE550" s="145"/>
      <c r="EF550" s="7"/>
    </row>
    <row r="551" spans="2:136" x14ac:dyDescent="0.2">
      <c r="B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U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43"/>
      <c r="DP551" s="43"/>
      <c r="DQ551" s="43"/>
      <c r="DR551" s="43"/>
      <c r="DS551" s="43"/>
      <c r="DT551" s="43"/>
      <c r="DU551" s="43"/>
      <c r="DV551" s="43"/>
      <c r="DW551" s="43"/>
      <c r="DX551" s="7"/>
      <c r="DY551" s="145"/>
      <c r="DZ551" s="7"/>
      <c r="EA551" s="145"/>
      <c r="EB551" s="7"/>
      <c r="EC551" s="145"/>
      <c r="ED551" s="7"/>
      <c r="EE551" s="145"/>
      <c r="EF551" s="7"/>
    </row>
    <row r="552" spans="2:136" x14ac:dyDescent="0.2">
      <c r="B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U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43"/>
      <c r="DP552" s="43"/>
      <c r="DQ552" s="43"/>
      <c r="DR552" s="43"/>
      <c r="DS552" s="43"/>
      <c r="DT552" s="43"/>
      <c r="DU552" s="43"/>
      <c r="DV552" s="43"/>
      <c r="DW552" s="43"/>
      <c r="DX552" s="7"/>
      <c r="DY552" s="145"/>
      <c r="DZ552" s="7"/>
      <c r="EA552" s="145"/>
      <c r="EB552" s="7"/>
      <c r="EC552" s="145"/>
      <c r="ED552" s="7"/>
      <c r="EE552" s="145"/>
      <c r="EF552" s="7"/>
    </row>
    <row r="553" spans="2:136" x14ac:dyDescent="0.2">
      <c r="B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U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43"/>
      <c r="DP553" s="43"/>
      <c r="DQ553" s="43"/>
      <c r="DR553" s="43"/>
      <c r="DS553" s="43"/>
      <c r="DT553" s="43"/>
      <c r="DU553" s="43"/>
      <c r="DV553" s="43"/>
      <c r="DW553" s="43"/>
      <c r="DX553" s="7"/>
      <c r="DY553" s="145"/>
      <c r="DZ553" s="7"/>
      <c r="EA553" s="145"/>
      <c r="EB553" s="7"/>
      <c r="EC553" s="145"/>
      <c r="ED553" s="7"/>
      <c r="EE553" s="145"/>
      <c r="EF553" s="7"/>
    </row>
    <row r="554" spans="2:136" x14ac:dyDescent="0.2">
      <c r="B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U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43"/>
      <c r="DP554" s="43"/>
      <c r="DQ554" s="43"/>
      <c r="DR554" s="43"/>
      <c r="DS554" s="43"/>
      <c r="DT554" s="43"/>
      <c r="DU554" s="43"/>
      <c r="DV554" s="43"/>
      <c r="DW554" s="43"/>
      <c r="DX554" s="7"/>
      <c r="DY554" s="145"/>
      <c r="DZ554" s="7"/>
      <c r="EA554" s="145"/>
      <c r="EB554" s="7"/>
      <c r="EC554" s="145"/>
      <c r="ED554" s="7"/>
      <c r="EE554" s="145"/>
      <c r="EF554" s="7"/>
    </row>
    <row r="555" spans="2:136" x14ac:dyDescent="0.2">
      <c r="B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U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43"/>
      <c r="DP555" s="43"/>
      <c r="DQ555" s="43"/>
      <c r="DR555" s="43"/>
      <c r="DS555" s="43"/>
      <c r="DT555" s="43"/>
      <c r="DU555" s="43"/>
      <c r="DV555" s="43"/>
      <c r="DW555" s="43"/>
      <c r="DX555" s="7"/>
      <c r="DY555" s="145"/>
      <c r="DZ555" s="7"/>
      <c r="EA555" s="145"/>
      <c r="EB555" s="7"/>
      <c r="EC555" s="145"/>
      <c r="ED555" s="7"/>
      <c r="EE555" s="145"/>
      <c r="EF555" s="7"/>
    </row>
    <row r="556" spans="2:136" x14ac:dyDescent="0.2">
      <c r="B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U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43"/>
      <c r="DP556" s="43"/>
      <c r="DQ556" s="43"/>
      <c r="DR556" s="43"/>
      <c r="DS556" s="43"/>
      <c r="DT556" s="43"/>
      <c r="DU556" s="43"/>
      <c r="DV556" s="43"/>
      <c r="DW556" s="43"/>
      <c r="DX556" s="7"/>
      <c r="DY556" s="145"/>
      <c r="DZ556" s="7"/>
      <c r="EA556" s="145"/>
      <c r="EB556" s="7"/>
      <c r="EC556" s="145"/>
      <c r="ED556" s="7"/>
      <c r="EE556" s="145"/>
      <c r="EF556" s="7"/>
    </row>
    <row r="557" spans="2:136" x14ac:dyDescent="0.2">
      <c r="B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U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43"/>
      <c r="DP557" s="43"/>
      <c r="DQ557" s="43"/>
      <c r="DR557" s="43"/>
      <c r="DS557" s="43"/>
      <c r="DT557" s="43"/>
      <c r="DU557" s="43"/>
      <c r="DV557" s="43"/>
      <c r="DW557" s="43"/>
      <c r="DX557" s="7"/>
      <c r="DY557" s="145"/>
      <c r="DZ557" s="7"/>
      <c r="EA557" s="145"/>
      <c r="EB557" s="7"/>
      <c r="EC557" s="145"/>
      <c r="ED557" s="7"/>
      <c r="EE557" s="145"/>
      <c r="EF557" s="7"/>
    </row>
    <row r="558" spans="2:136" x14ac:dyDescent="0.2">
      <c r="B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U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43"/>
      <c r="DP558" s="43"/>
      <c r="DQ558" s="43"/>
      <c r="DR558" s="43"/>
      <c r="DS558" s="43"/>
      <c r="DT558" s="43"/>
      <c r="DU558" s="43"/>
      <c r="DV558" s="43"/>
      <c r="DW558" s="43"/>
      <c r="DX558" s="7"/>
      <c r="DY558" s="145"/>
      <c r="DZ558" s="7"/>
      <c r="EA558" s="145"/>
      <c r="EB558" s="7"/>
      <c r="EC558" s="145"/>
      <c r="ED558" s="7"/>
      <c r="EE558" s="145"/>
      <c r="EF558" s="7"/>
    </row>
    <row r="559" spans="2:136" x14ac:dyDescent="0.2">
      <c r="B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U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43"/>
      <c r="DP559" s="43"/>
      <c r="DQ559" s="43"/>
      <c r="DR559" s="43"/>
      <c r="DS559" s="43"/>
      <c r="DT559" s="43"/>
      <c r="DU559" s="43"/>
      <c r="DV559" s="43"/>
      <c r="DW559" s="43"/>
      <c r="DX559" s="7"/>
      <c r="DY559" s="145"/>
      <c r="DZ559" s="7"/>
      <c r="EA559" s="145"/>
      <c r="EB559" s="7"/>
      <c r="EC559" s="145"/>
      <c r="ED559" s="7"/>
      <c r="EE559" s="145"/>
      <c r="EF559" s="7"/>
    </row>
    <row r="560" spans="2:136" x14ac:dyDescent="0.2">
      <c r="B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U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43"/>
      <c r="DP560" s="43"/>
      <c r="DQ560" s="43"/>
      <c r="DR560" s="43"/>
      <c r="DS560" s="43"/>
      <c r="DT560" s="43"/>
      <c r="DU560" s="43"/>
      <c r="DV560" s="43"/>
      <c r="DW560" s="43"/>
      <c r="DX560" s="7"/>
      <c r="DY560" s="145"/>
      <c r="DZ560" s="7"/>
      <c r="EA560" s="145"/>
      <c r="EB560" s="7"/>
      <c r="EC560" s="145"/>
      <c r="ED560" s="7"/>
      <c r="EE560" s="145"/>
      <c r="EF560" s="7"/>
    </row>
    <row r="561" spans="2:136" x14ac:dyDescent="0.2">
      <c r="B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U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43"/>
      <c r="DP561" s="43"/>
      <c r="DQ561" s="43"/>
      <c r="DR561" s="43"/>
      <c r="DS561" s="43"/>
      <c r="DT561" s="43"/>
      <c r="DU561" s="43"/>
      <c r="DV561" s="43"/>
      <c r="DW561" s="43"/>
      <c r="DX561" s="7"/>
      <c r="DY561" s="145"/>
      <c r="DZ561" s="7"/>
      <c r="EA561" s="145"/>
      <c r="EB561" s="7"/>
      <c r="EC561" s="145"/>
      <c r="ED561" s="7"/>
      <c r="EE561" s="145"/>
      <c r="EF561" s="7"/>
    </row>
    <row r="562" spans="2:136" x14ac:dyDescent="0.2">
      <c r="B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U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43"/>
      <c r="DP562" s="43"/>
      <c r="DQ562" s="43"/>
      <c r="DR562" s="43"/>
      <c r="DS562" s="43"/>
      <c r="DT562" s="43"/>
      <c r="DU562" s="43"/>
      <c r="DV562" s="43"/>
      <c r="DW562" s="43"/>
      <c r="DX562" s="7"/>
      <c r="DY562" s="145"/>
      <c r="DZ562" s="7"/>
      <c r="EA562" s="145"/>
      <c r="EB562" s="7"/>
      <c r="EC562" s="145"/>
      <c r="ED562" s="7"/>
      <c r="EE562" s="145"/>
      <c r="EF562" s="7"/>
    </row>
    <row r="563" spans="2:136" x14ac:dyDescent="0.2">
      <c r="B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U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43"/>
      <c r="DP563" s="43"/>
      <c r="DQ563" s="43"/>
      <c r="DR563" s="43"/>
      <c r="DS563" s="43"/>
      <c r="DT563" s="43"/>
      <c r="DU563" s="43"/>
      <c r="DV563" s="43"/>
      <c r="DW563" s="43"/>
      <c r="DX563" s="7"/>
      <c r="DY563" s="145"/>
      <c r="DZ563" s="7"/>
      <c r="EA563" s="145"/>
      <c r="EB563" s="7"/>
      <c r="EC563" s="145"/>
      <c r="ED563" s="7"/>
      <c r="EE563" s="145"/>
      <c r="EF563" s="7"/>
    </row>
    <row r="564" spans="2:136" x14ac:dyDescent="0.2">
      <c r="B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U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43"/>
      <c r="DP564" s="43"/>
      <c r="DQ564" s="43"/>
      <c r="DR564" s="43"/>
      <c r="DS564" s="43"/>
      <c r="DT564" s="43"/>
      <c r="DU564" s="43"/>
      <c r="DV564" s="43"/>
      <c r="DW564" s="43"/>
      <c r="DX564" s="7"/>
      <c r="DY564" s="145"/>
      <c r="DZ564" s="7"/>
      <c r="EA564" s="145"/>
      <c r="EB564" s="7"/>
      <c r="EC564" s="145"/>
      <c r="ED564" s="7"/>
      <c r="EE564" s="145"/>
      <c r="EF564" s="7"/>
    </row>
    <row r="565" spans="2:136" x14ac:dyDescent="0.2">
      <c r="B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U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43"/>
      <c r="DP565" s="43"/>
      <c r="DQ565" s="43"/>
      <c r="DR565" s="43"/>
      <c r="DS565" s="43"/>
      <c r="DT565" s="43"/>
      <c r="DU565" s="43"/>
      <c r="DV565" s="43"/>
      <c r="DW565" s="43"/>
      <c r="DX565" s="7"/>
      <c r="DY565" s="145"/>
      <c r="DZ565" s="7"/>
      <c r="EA565" s="145"/>
      <c r="EB565" s="7"/>
      <c r="EC565" s="145"/>
      <c r="ED565" s="7"/>
      <c r="EE565" s="145"/>
      <c r="EF565" s="7"/>
    </row>
    <row r="566" spans="2:136" x14ac:dyDescent="0.2">
      <c r="B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U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43"/>
      <c r="DP566" s="43"/>
      <c r="DQ566" s="43"/>
      <c r="DR566" s="43"/>
      <c r="DS566" s="43"/>
      <c r="DT566" s="43"/>
      <c r="DU566" s="43"/>
      <c r="DV566" s="43"/>
      <c r="DW566" s="43"/>
      <c r="DX566" s="7"/>
      <c r="DY566" s="145"/>
      <c r="DZ566" s="7"/>
      <c r="EA566" s="145"/>
      <c r="EB566" s="7"/>
      <c r="EC566" s="145"/>
      <c r="ED566" s="7"/>
      <c r="EE566" s="145"/>
      <c r="EF566" s="7"/>
    </row>
    <row r="567" spans="2:136" x14ac:dyDescent="0.2">
      <c r="B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U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43"/>
      <c r="DP567" s="43"/>
      <c r="DQ567" s="43"/>
      <c r="DR567" s="43"/>
      <c r="DS567" s="43"/>
      <c r="DT567" s="43"/>
      <c r="DU567" s="43"/>
      <c r="DV567" s="43"/>
      <c r="DW567" s="43"/>
      <c r="DX567" s="7"/>
      <c r="DY567" s="145"/>
      <c r="DZ567" s="7"/>
      <c r="EA567" s="145"/>
      <c r="EB567" s="7"/>
      <c r="EC567" s="145"/>
      <c r="ED567" s="7"/>
      <c r="EE567" s="145"/>
      <c r="EF567" s="7"/>
    </row>
    <row r="568" spans="2:136" x14ac:dyDescent="0.2">
      <c r="B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U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43"/>
      <c r="DP568" s="43"/>
      <c r="DQ568" s="43"/>
      <c r="DR568" s="43"/>
      <c r="DS568" s="43"/>
      <c r="DT568" s="43"/>
      <c r="DU568" s="43"/>
      <c r="DV568" s="43"/>
      <c r="DW568" s="43"/>
      <c r="DX568" s="7"/>
      <c r="DY568" s="145"/>
      <c r="DZ568" s="7"/>
      <c r="EA568" s="145"/>
      <c r="EB568" s="7"/>
      <c r="EC568" s="145"/>
      <c r="ED568" s="7"/>
      <c r="EE568" s="145"/>
      <c r="EF568" s="7"/>
    </row>
    <row r="569" spans="2:136" x14ac:dyDescent="0.2">
      <c r="B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U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43"/>
      <c r="DP569" s="43"/>
      <c r="DQ569" s="43"/>
      <c r="DR569" s="43"/>
      <c r="DS569" s="43"/>
      <c r="DT569" s="43"/>
      <c r="DU569" s="43"/>
      <c r="DV569" s="43"/>
      <c r="DW569" s="43"/>
      <c r="DX569" s="7"/>
      <c r="DY569" s="145"/>
      <c r="DZ569" s="7"/>
      <c r="EA569" s="145"/>
      <c r="EB569" s="7"/>
      <c r="EC569" s="145"/>
      <c r="ED569" s="7"/>
      <c r="EE569" s="145"/>
      <c r="EF569" s="7"/>
    </row>
    <row r="570" spans="2:136" x14ac:dyDescent="0.2">
      <c r="B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U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43"/>
      <c r="DP570" s="43"/>
      <c r="DQ570" s="43"/>
      <c r="DR570" s="43"/>
      <c r="DS570" s="43"/>
      <c r="DT570" s="43"/>
      <c r="DU570" s="43"/>
      <c r="DV570" s="43"/>
      <c r="DW570" s="43"/>
      <c r="DX570" s="7"/>
      <c r="DY570" s="145"/>
      <c r="DZ570" s="7"/>
      <c r="EA570" s="145"/>
      <c r="EB570" s="7"/>
      <c r="EC570" s="145"/>
      <c r="ED570" s="7"/>
      <c r="EE570" s="145"/>
      <c r="EF570" s="7"/>
    </row>
    <row r="571" spans="2:136" x14ac:dyDescent="0.2">
      <c r="B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U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43"/>
      <c r="DP571" s="43"/>
      <c r="DQ571" s="43"/>
      <c r="DR571" s="43"/>
      <c r="DS571" s="43"/>
      <c r="DT571" s="43"/>
      <c r="DU571" s="43"/>
      <c r="DV571" s="43"/>
      <c r="DW571" s="43"/>
      <c r="DX571" s="7"/>
      <c r="DY571" s="145"/>
      <c r="DZ571" s="7"/>
      <c r="EA571" s="145"/>
      <c r="EB571" s="7"/>
      <c r="EC571" s="145"/>
      <c r="ED571" s="7"/>
      <c r="EE571" s="145"/>
      <c r="EF571" s="7"/>
    </row>
    <row r="572" spans="2:136" x14ac:dyDescent="0.2">
      <c r="B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U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43"/>
      <c r="DP572" s="43"/>
      <c r="DQ572" s="43"/>
      <c r="DR572" s="43"/>
      <c r="DS572" s="43"/>
      <c r="DT572" s="43"/>
      <c r="DU572" s="43"/>
      <c r="DV572" s="43"/>
      <c r="DW572" s="43"/>
      <c r="DX572" s="7"/>
      <c r="DY572" s="145"/>
      <c r="DZ572" s="7"/>
      <c r="EA572" s="145"/>
      <c r="EB572" s="7"/>
      <c r="EC572" s="145"/>
      <c r="ED572" s="7"/>
      <c r="EE572" s="145"/>
      <c r="EF572" s="7"/>
    </row>
    <row r="573" spans="2:136" x14ac:dyDescent="0.2">
      <c r="B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U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43"/>
      <c r="DP573" s="43"/>
      <c r="DQ573" s="43"/>
      <c r="DR573" s="43"/>
      <c r="DS573" s="43"/>
      <c r="DT573" s="43"/>
      <c r="DU573" s="43"/>
      <c r="DV573" s="43"/>
      <c r="DW573" s="43"/>
      <c r="DX573" s="7"/>
      <c r="DY573" s="145"/>
      <c r="DZ573" s="7"/>
      <c r="EA573" s="145"/>
      <c r="EB573" s="7"/>
      <c r="EC573" s="145"/>
      <c r="ED573" s="7"/>
      <c r="EE573" s="145"/>
      <c r="EF573" s="7"/>
    </row>
    <row r="574" spans="2:136" x14ac:dyDescent="0.2">
      <c r="B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U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43"/>
      <c r="DP574" s="43"/>
      <c r="DQ574" s="43"/>
      <c r="DR574" s="43"/>
      <c r="DS574" s="43"/>
      <c r="DT574" s="43"/>
      <c r="DU574" s="43"/>
      <c r="DV574" s="43"/>
      <c r="DW574" s="43"/>
      <c r="DX574" s="7"/>
      <c r="DY574" s="145"/>
      <c r="DZ574" s="7"/>
      <c r="EA574" s="145"/>
      <c r="EB574" s="7"/>
      <c r="EC574" s="145"/>
      <c r="ED574" s="7"/>
      <c r="EE574" s="145"/>
      <c r="EF574" s="7"/>
    </row>
    <row r="575" spans="2:136" x14ac:dyDescent="0.2">
      <c r="B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U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43"/>
      <c r="DP575" s="43"/>
      <c r="DQ575" s="43"/>
      <c r="DR575" s="43"/>
      <c r="DS575" s="43"/>
      <c r="DT575" s="43"/>
      <c r="DU575" s="43"/>
      <c r="DV575" s="43"/>
      <c r="DW575" s="43"/>
      <c r="DX575" s="7"/>
      <c r="DY575" s="145"/>
      <c r="DZ575" s="7"/>
      <c r="EA575" s="145"/>
      <c r="EB575" s="7"/>
      <c r="EC575" s="145"/>
      <c r="ED575" s="7"/>
      <c r="EE575" s="145"/>
      <c r="EF575" s="7"/>
    </row>
    <row r="576" spans="2:136" x14ac:dyDescent="0.2">
      <c r="B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U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43"/>
      <c r="DP576" s="43"/>
      <c r="DQ576" s="43"/>
      <c r="DR576" s="43"/>
      <c r="DS576" s="43"/>
      <c r="DT576" s="43"/>
      <c r="DU576" s="43"/>
      <c r="DV576" s="43"/>
      <c r="DW576" s="43"/>
      <c r="DX576" s="7"/>
      <c r="DY576" s="145"/>
      <c r="DZ576" s="7"/>
      <c r="EA576" s="145"/>
      <c r="EB576" s="7"/>
      <c r="EC576" s="145"/>
      <c r="ED576" s="7"/>
      <c r="EE576" s="145"/>
      <c r="EF576" s="7"/>
    </row>
    <row r="577" spans="2:136" x14ac:dyDescent="0.2">
      <c r="B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U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43"/>
      <c r="DP577" s="43"/>
      <c r="DQ577" s="43"/>
      <c r="DR577" s="43"/>
      <c r="DS577" s="43"/>
      <c r="DT577" s="43"/>
      <c r="DU577" s="43"/>
      <c r="DV577" s="43"/>
      <c r="DW577" s="43"/>
      <c r="DX577" s="7"/>
      <c r="DY577" s="145"/>
      <c r="DZ577" s="7"/>
      <c r="EA577" s="145"/>
      <c r="EB577" s="7"/>
      <c r="EC577" s="145"/>
      <c r="ED577" s="7"/>
      <c r="EE577" s="145"/>
      <c r="EF577" s="7"/>
    </row>
    <row r="578" spans="2:136" x14ac:dyDescent="0.2">
      <c r="B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U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43"/>
      <c r="DP578" s="43"/>
      <c r="DQ578" s="43"/>
      <c r="DR578" s="43"/>
      <c r="DS578" s="43"/>
      <c r="DT578" s="43"/>
      <c r="DU578" s="43"/>
      <c r="DV578" s="43"/>
      <c r="DW578" s="43"/>
      <c r="DX578" s="7"/>
      <c r="DY578" s="145"/>
      <c r="DZ578" s="7"/>
      <c r="EA578" s="145"/>
      <c r="EB578" s="7"/>
      <c r="EC578" s="145"/>
      <c r="ED578" s="7"/>
      <c r="EE578" s="145"/>
      <c r="EF578" s="7"/>
    </row>
    <row r="579" spans="2:136" x14ac:dyDescent="0.2">
      <c r="B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U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43"/>
      <c r="DP579" s="43"/>
      <c r="DQ579" s="43"/>
      <c r="DR579" s="43"/>
      <c r="DS579" s="43"/>
      <c r="DT579" s="43"/>
      <c r="DU579" s="43"/>
      <c r="DV579" s="43"/>
      <c r="DW579" s="43"/>
      <c r="DX579" s="7"/>
      <c r="DY579" s="145"/>
      <c r="DZ579" s="7"/>
      <c r="EA579" s="145"/>
      <c r="EB579" s="7"/>
      <c r="EC579" s="145"/>
      <c r="ED579" s="7"/>
      <c r="EE579" s="145"/>
      <c r="EF579" s="7"/>
    </row>
    <row r="580" spans="2:136" x14ac:dyDescent="0.2">
      <c r="B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U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43"/>
      <c r="DP580" s="43"/>
      <c r="DQ580" s="43"/>
      <c r="DR580" s="43"/>
      <c r="DS580" s="43"/>
      <c r="DT580" s="43"/>
      <c r="DU580" s="43"/>
      <c r="DV580" s="43"/>
      <c r="DW580" s="43"/>
      <c r="DX580" s="7"/>
      <c r="DY580" s="145"/>
      <c r="DZ580" s="7"/>
      <c r="EA580" s="145"/>
      <c r="EB580" s="7"/>
      <c r="EC580" s="145"/>
      <c r="ED580" s="7"/>
      <c r="EE580" s="145"/>
      <c r="EF580" s="7"/>
    </row>
    <row r="581" spans="2:136" x14ac:dyDescent="0.2">
      <c r="B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U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43"/>
      <c r="DP581" s="43"/>
      <c r="DQ581" s="43"/>
      <c r="DR581" s="43"/>
      <c r="DS581" s="43"/>
      <c r="DT581" s="43"/>
      <c r="DU581" s="43"/>
      <c r="DV581" s="43"/>
      <c r="DW581" s="43"/>
      <c r="DX581" s="7"/>
      <c r="DY581" s="145"/>
      <c r="DZ581" s="7"/>
      <c r="EA581" s="145"/>
      <c r="EB581" s="7"/>
      <c r="EC581" s="145"/>
      <c r="ED581" s="7"/>
      <c r="EE581" s="145"/>
      <c r="EF581" s="7"/>
    </row>
    <row r="582" spans="2:136" x14ac:dyDescent="0.2">
      <c r="B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U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43"/>
      <c r="DP582" s="43"/>
      <c r="DQ582" s="43"/>
      <c r="DR582" s="43"/>
      <c r="DS582" s="43"/>
      <c r="DT582" s="43"/>
      <c r="DU582" s="43"/>
      <c r="DV582" s="43"/>
      <c r="DW582" s="43"/>
      <c r="DX582" s="7"/>
      <c r="DY582" s="145"/>
      <c r="DZ582" s="7"/>
      <c r="EA582" s="145"/>
      <c r="EB582" s="7"/>
      <c r="EC582" s="145"/>
      <c r="ED582" s="7"/>
      <c r="EE582" s="145"/>
      <c r="EF582" s="7"/>
    </row>
    <row r="583" spans="2:136" x14ac:dyDescent="0.2">
      <c r="B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U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43"/>
      <c r="DP583" s="43"/>
      <c r="DQ583" s="43"/>
      <c r="DR583" s="43"/>
      <c r="DS583" s="43"/>
      <c r="DT583" s="43"/>
      <c r="DU583" s="43"/>
      <c r="DV583" s="43"/>
      <c r="DW583" s="43"/>
      <c r="DX583" s="7"/>
      <c r="DY583" s="145"/>
      <c r="DZ583" s="7"/>
      <c r="EA583" s="145"/>
      <c r="EB583" s="7"/>
      <c r="EC583" s="145"/>
      <c r="ED583" s="7"/>
      <c r="EE583" s="145"/>
      <c r="EF583" s="7"/>
    </row>
    <row r="584" spans="2:136" x14ac:dyDescent="0.2">
      <c r="B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U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43"/>
      <c r="DP584" s="43"/>
      <c r="DQ584" s="43"/>
      <c r="DR584" s="43"/>
      <c r="DS584" s="43"/>
      <c r="DT584" s="43"/>
      <c r="DU584" s="43"/>
      <c r="DV584" s="43"/>
      <c r="DW584" s="43"/>
      <c r="DX584" s="7"/>
      <c r="DY584" s="145"/>
      <c r="DZ584" s="7"/>
      <c r="EA584" s="145"/>
      <c r="EB584" s="7"/>
      <c r="EC584" s="145"/>
      <c r="ED584" s="7"/>
      <c r="EE584" s="145"/>
      <c r="EF584" s="7"/>
    </row>
    <row r="585" spans="2:136" x14ac:dyDescent="0.2">
      <c r="B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U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43"/>
      <c r="DP585" s="43"/>
      <c r="DQ585" s="43"/>
      <c r="DR585" s="43"/>
      <c r="DS585" s="43"/>
      <c r="DT585" s="43"/>
      <c r="DU585" s="43"/>
      <c r="DV585" s="43"/>
      <c r="DW585" s="43"/>
      <c r="DX585" s="7"/>
      <c r="DY585" s="145"/>
      <c r="DZ585" s="7"/>
      <c r="EA585" s="145"/>
      <c r="EB585" s="7"/>
      <c r="EC585" s="145"/>
      <c r="ED585" s="7"/>
      <c r="EE585" s="145"/>
      <c r="EF585" s="7"/>
    </row>
    <row r="586" spans="2:136" x14ac:dyDescent="0.2">
      <c r="B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U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43"/>
      <c r="DP586" s="43"/>
      <c r="DQ586" s="43"/>
      <c r="DR586" s="43"/>
      <c r="DS586" s="43"/>
      <c r="DT586" s="43"/>
      <c r="DU586" s="43"/>
      <c r="DV586" s="43"/>
      <c r="DW586" s="43"/>
      <c r="DX586" s="7"/>
      <c r="DY586" s="145"/>
      <c r="DZ586" s="7"/>
      <c r="EA586" s="145"/>
      <c r="EB586" s="7"/>
      <c r="EC586" s="145"/>
      <c r="ED586" s="7"/>
      <c r="EE586" s="145"/>
      <c r="EF586" s="7"/>
    </row>
    <row r="587" spans="2:136" x14ac:dyDescent="0.2">
      <c r="B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U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43"/>
      <c r="DP587" s="43"/>
      <c r="DQ587" s="43"/>
      <c r="DR587" s="43"/>
      <c r="DS587" s="43"/>
      <c r="DT587" s="43"/>
      <c r="DU587" s="43"/>
      <c r="DV587" s="43"/>
      <c r="DW587" s="43"/>
      <c r="DX587" s="7"/>
      <c r="DY587" s="145"/>
      <c r="DZ587" s="7"/>
      <c r="EA587" s="145"/>
      <c r="EB587" s="7"/>
      <c r="EC587" s="145"/>
      <c r="ED587" s="7"/>
      <c r="EE587" s="145"/>
      <c r="EF587" s="7"/>
    </row>
    <row r="588" spans="2:136" x14ac:dyDescent="0.2">
      <c r="B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U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43"/>
      <c r="DP588" s="43"/>
      <c r="DQ588" s="43"/>
      <c r="DR588" s="43"/>
      <c r="DS588" s="43"/>
      <c r="DT588" s="43"/>
      <c r="DU588" s="43"/>
      <c r="DV588" s="43"/>
      <c r="DW588" s="43"/>
      <c r="DX588" s="7"/>
      <c r="DY588" s="145"/>
      <c r="DZ588" s="7"/>
      <c r="EA588" s="145"/>
      <c r="EB588" s="7"/>
      <c r="EC588" s="145"/>
      <c r="ED588" s="7"/>
      <c r="EE588" s="145"/>
      <c r="EF588" s="7"/>
    </row>
    <row r="589" spans="2:136" x14ac:dyDescent="0.2">
      <c r="B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U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43"/>
      <c r="DP589" s="43"/>
      <c r="DQ589" s="43"/>
      <c r="DR589" s="43"/>
      <c r="DS589" s="43"/>
      <c r="DT589" s="43"/>
      <c r="DU589" s="43"/>
      <c r="DV589" s="43"/>
      <c r="DW589" s="43"/>
      <c r="DX589" s="7"/>
      <c r="DY589" s="145"/>
      <c r="DZ589" s="7"/>
      <c r="EA589" s="145"/>
      <c r="EB589" s="7"/>
      <c r="EC589" s="145"/>
      <c r="ED589" s="7"/>
      <c r="EE589" s="145"/>
      <c r="EF589" s="7"/>
    </row>
    <row r="590" spans="2:136" x14ac:dyDescent="0.2">
      <c r="B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U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43"/>
      <c r="DP590" s="43"/>
      <c r="DQ590" s="43"/>
      <c r="DR590" s="43"/>
      <c r="DS590" s="43"/>
      <c r="DT590" s="43"/>
      <c r="DU590" s="43"/>
      <c r="DV590" s="43"/>
      <c r="DW590" s="43"/>
      <c r="DX590" s="7"/>
      <c r="DY590" s="145"/>
      <c r="DZ590" s="7"/>
      <c r="EA590" s="145"/>
      <c r="EB590" s="7"/>
      <c r="EC590" s="145"/>
      <c r="ED590" s="7"/>
      <c r="EE590" s="145"/>
      <c r="EF590" s="7"/>
    </row>
    <row r="591" spans="2:136" x14ac:dyDescent="0.2">
      <c r="B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U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43"/>
      <c r="DP591" s="43"/>
      <c r="DQ591" s="43"/>
      <c r="DR591" s="43"/>
      <c r="DS591" s="43"/>
      <c r="DT591" s="43"/>
      <c r="DU591" s="43"/>
      <c r="DV591" s="43"/>
      <c r="DW591" s="43"/>
      <c r="DX591" s="7"/>
      <c r="DY591" s="145"/>
      <c r="DZ591" s="7"/>
      <c r="EA591" s="145"/>
      <c r="EB591" s="7"/>
      <c r="EC591" s="145"/>
      <c r="ED591" s="7"/>
      <c r="EE591" s="145"/>
      <c r="EF591" s="7"/>
    </row>
    <row r="592" spans="2:136" x14ac:dyDescent="0.2">
      <c r="B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U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43"/>
      <c r="DP592" s="43"/>
      <c r="DQ592" s="43"/>
      <c r="DR592" s="43"/>
      <c r="DS592" s="43"/>
      <c r="DT592" s="43"/>
      <c r="DU592" s="43"/>
      <c r="DV592" s="43"/>
      <c r="DW592" s="43"/>
      <c r="DX592" s="7"/>
      <c r="DY592" s="145"/>
      <c r="DZ592" s="7"/>
      <c r="EA592" s="145"/>
      <c r="EB592" s="7"/>
      <c r="EC592" s="145"/>
      <c r="ED592" s="7"/>
      <c r="EE592" s="145"/>
      <c r="EF592" s="7"/>
    </row>
    <row r="593" spans="2:136" x14ac:dyDescent="0.2">
      <c r="B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U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43"/>
      <c r="DP593" s="43"/>
      <c r="DQ593" s="43"/>
      <c r="DR593" s="43"/>
      <c r="DS593" s="43"/>
      <c r="DT593" s="43"/>
      <c r="DU593" s="43"/>
      <c r="DV593" s="43"/>
      <c r="DW593" s="43"/>
      <c r="DX593" s="7"/>
      <c r="DY593" s="145"/>
      <c r="DZ593" s="7"/>
      <c r="EA593" s="145"/>
      <c r="EB593" s="7"/>
      <c r="EC593" s="145"/>
      <c r="ED593" s="7"/>
      <c r="EE593" s="145"/>
      <c r="EF593" s="7"/>
    </row>
    <row r="594" spans="2:136" x14ac:dyDescent="0.2">
      <c r="B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U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43"/>
      <c r="DP594" s="43"/>
      <c r="DQ594" s="43"/>
      <c r="DR594" s="43"/>
      <c r="DS594" s="43"/>
      <c r="DT594" s="43"/>
      <c r="DU594" s="43"/>
      <c r="DV594" s="43"/>
      <c r="DW594" s="43"/>
      <c r="DX594" s="7"/>
      <c r="DY594" s="145"/>
      <c r="DZ594" s="7"/>
      <c r="EA594" s="145"/>
      <c r="EB594" s="7"/>
      <c r="EC594" s="145"/>
      <c r="ED594" s="7"/>
      <c r="EE594" s="145"/>
      <c r="EF594" s="7"/>
    </row>
    <row r="595" spans="2:136" x14ac:dyDescent="0.2">
      <c r="B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U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43"/>
      <c r="DP595" s="43"/>
      <c r="DQ595" s="43"/>
      <c r="DR595" s="43"/>
      <c r="DS595" s="43"/>
      <c r="DT595" s="43"/>
      <c r="DU595" s="43"/>
      <c r="DV595" s="43"/>
      <c r="DW595" s="43"/>
      <c r="DX595" s="7"/>
      <c r="DY595" s="145"/>
      <c r="DZ595" s="7"/>
      <c r="EA595" s="145"/>
      <c r="EB595" s="7"/>
      <c r="EC595" s="145"/>
      <c r="ED595" s="7"/>
      <c r="EE595" s="145"/>
      <c r="EF595" s="7"/>
    </row>
    <row r="596" spans="2:136" x14ac:dyDescent="0.2">
      <c r="B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U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43"/>
      <c r="DP596" s="43"/>
      <c r="DQ596" s="43"/>
      <c r="DR596" s="43"/>
      <c r="DS596" s="43"/>
      <c r="DT596" s="43"/>
      <c r="DU596" s="43"/>
      <c r="DV596" s="43"/>
      <c r="DW596" s="43"/>
      <c r="DX596" s="7"/>
      <c r="DY596" s="145"/>
      <c r="DZ596" s="7"/>
      <c r="EA596" s="145"/>
      <c r="EB596" s="7"/>
      <c r="EC596" s="145"/>
      <c r="ED596" s="7"/>
      <c r="EE596" s="145"/>
      <c r="EF596" s="7"/>
    </row>
    <row r="597" spans="2:136" x14ac:dyDescent="0.2">
      <c r="B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U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43"/>
      <c r="DP597" s="43"/>
      <c r="DQ597" s="43"/>
      <c r="DR597" s="43"/>
      <c r="DS597" s="43"/>
      <c r="DT597" s="43"/>
      <c r="DU597" s="43"/>
      <c r="DV597" s="43"/>
      <c r="DW597" s="43"/>
      <c r="DX597" s="7"/>
      <c r="DY597" s="145"/>
      <c r="DZ597" s="7"/>
      <c r="EA597" s="145"/>
      <c r="EB597" s="7"/>
      <c r="EC597" s="145"/>
      <c r="ED597" s="7"/>
      <c r="EE597" s="145"/>
      <c r="EF597" s="7"/>
    </row>
    <row r="598" spans="2:136" x14ac:dyDescent="0.2">
      <c r="B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U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43"/>
      <c r="DP598" s="43"/>
      <c r="DQ598" s="43"/>
      <c r="DR598" s="43"/>
      <c r="DS598" s="43"/>
      <c r="DT598" s="43"/>
      <c r="DU598" s="43"/>
      <c r="DV598" s="43"/>
      <c r="DW598" s="43"/>
      <c r="DX598" s="7"/>
      <c r="DY598" s="145"/>
      <c r="DZ598" s="7"/>
      <c r="EA598" s="145"/>
      <c r="EB598" s="7"/>
      <c r="EC598" s="145"/>
      <c r="ED598" s="7"/>
      <c r="EE598" s="145"/>
      <c r="EF598" s="7"/>
    </row>
    <row r="599" spans="2:136" x14ac:dyDescent="0.2">
      <c r="B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U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43"/>
      <c r="DP599" s="43"/>
      <c r="DQ599" s="43"/>
      <c r="DR599" s="43"/>
      <c r="DS599" s="43"/>
      <c r="DT599" s="43"/>
      <c r="DU599" s="43"/>
      <c r="DV599" s="43"/>
      <c r="DW599" s="43"/>
      <c r="DX599" s="7"/>
      <c r="DY599" s="145"/>
      <c r="DZ599" s="7"/>
      <c r="EA599" s="145"/>
      <c r="EB599" s="7"/>
      <c r="EC599" s="145"/>
      <c r="ED599" s="7"/>
      <c r="EE599" s="145"/>
      <c r="EF599" s="7"/>
    </row>
    <row r="600" spans="2:136" x14ac:dyDescent="0.2">
      <c r="B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U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43"/>
      <c r="DP600" s="43"/>
      <c r="DQ600" s="43"/>
      <c r="DR600" s="43"/>
      <c r="DS600" s="43"/>
      <c r="DT600" s="43"/>
      <c r="DU600" s="43"/>
      <c r="DV600" s="43"/>
      <c r="DW600" s="43"/>
      <c r="DX600" s="7"/>
      <c r="DY600" s="145"/>
      <c r="DZ600" s="7"/>
      <c r="EA600" s="145"/>
      <c r="EB600" s="7"/>
      <c r="EC600" s="145"/>
      <c r="ED600" s="7"/>
      <c r="EE600" s="145"/>
      <c r="EF600" s="7"/>
    </row>
    <row r="601" spans="2:136" x14ac:dyDescent="0.2">
      <c r="B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U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43"/>
      <c r="DP601" s="43"/>
      <c r="DQ601" s="43"/>
      <c r="DR601" s="43"/>
      <c r="DS601" s="43"/>
      <c r="DT601" s="43"/>
      <c r="DU601" s="43"/>
      <c r="DV601" s="43"/>
      <c r="DW601" s="43"/>
      <c r="DX601" s="7"/>
      <c r="DY601" s="145"/>
      <c r="DZ601" s="7"/>
      <c r="EA601" s="145"/>
      <c r="EB601" s="7"/>
      <c r="EC601" s="145"/>
      <c r="ED601" s="7"/>
      <c r="EE601" s="145"/>
      <c r="EF601" s="7"/>
    </row>
    <row r="602" spans="2:136" x14ac:dyDescent="0.2">
      <c r="B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U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43"/>
      <c r="DP602" s="43"/>
      <c r="DQ602" s="43"/>
      <c r="DR602" s="43"/>
      <c r="DS602" s="43"/>
      <c r="DT602" s="43"/>
      <c r="DU602" s="43"/>
      <c r="DV602" s="43"/>
      <c r="DW602" s="43"/>
      <c r="DX602" s="7"/>
      <c r="DY602" s="145"/>
      <c r="DZ602" s="7"/>
      <c r="EA602" s="145"/>
      <c r="EB602" s="7"/>
      <c r="EC602" s="145"/>
      <c r="ED602" s="7"/>
      <c r="EE602" s="145"/>
      <c r="EF602" s="7"/>
    </row>
    <row r="603" spans="2:136" x14ac:dyDescent="0.2">
      <c r="B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U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43"/>
      <c r="DP603" s="43"/>
      <c r="DQ603" s="43"/>
      <c r="DR603" s="43"/>
      <c r="DS603" s="43"/>
      <c r="DT603" s="43"/>
      <c r="DU603" s="43"/>
      <c r="DV603" s="43"/>
      <c r="DW603" s="43"/>
      <c r="DX603" s="7"/>
      <c r="DY603" s="145"/>
      <c r="DZ603" s="7"/>
      <c r="EA603" s="145"/>
      <c r="EB603" s="7"/>
      <c r="EC603" s="145"/>
      <c r="ED603" s="7"/>
      <c r="EE603" s="145"/>
      <c r="EF603" s="7"/>
    </row>
    <row r="604" spans="2:136" x14ac:dyDescent="0.2">
      <c r="B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U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43"/>
      <c r="DP604" s="43"/>
      <c r="DQ604" s="43"/>
      <c r="DR604" s="43"/>
      <c r="DS604" s="43"/>
      <c r="DT604" s="43"/>
      <c r="DU604" s="43"/>
      <c r="DV604" s="43"/>
      <c r="DW604" s="43"/>
      <c r="DX604" s="7"/>
      <c r="DY604" s="145"/>
      <c r="DZ604" s="7"/>
      <c r="EA604" s="145"/>
      <c r="EB604" s="7"/>
      <c r="EC604" s="145"/>
      <c r="ED604" s="7"/>
      <c r="EE604" s="145"/>
      <c r="EF604" s="7"/>
    </row>
    <row r="605" spans="2:136" x14ac:dyDescent="0.2">
      <c r="B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U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43"/>
      <c r="DP605" s="43"/>
      <c r="DQ605" s="43"/>
      <c r="DR605" s="43"/>
      <c r="DS605" s="43"/>
      <c r="DT605" s="43"/>
      <c r="DU605" s="43"/>
      <c r="DV605" s="43"/>
      <c r="DW605" s="43"/>
      <c r="DX605" s="7"/>
      <c r="DY605" s="145"/>
      <c r="DZ605" s="7"/>
      <c r="EA605" s="145"/>
      <c r="EB605" s="7"/>
      <c r="EC605" s="145"/>
      <c r="ED605" s="7"/>
      <c r="EE605" s="145"/>
      <c r="EF605" s="7"/>
    </row>
    <row r="606" spans="2:136" x14ac:dyDescent="0.2">
      <c r="B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U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43"/>
      <c r="DP606" s="43"/>
      <c r="DQ606" s="43"/>
      <c r="DR606" s="43"/>
      <c r="DS606" s="43"/>
      <c r="DT606" s="43"/>
      <c r="DU606" s="43"/>
      <c r="DV606" s="43"/>
      <c r="DW606" s="43"/>
      <c r="DX606" s="7"/>
      <c r="DY606" s="145"/>
      <c r="DZ606" s="7"/>
      <c r="EA606" s="145"/>
      <c r="EB606" s="7"/>
      <c r="EC606" s="145"/>
      <c r="ED606" s="7"/>
      <c r="EE606" s="145"/>
      <c r="EF606" s="7"/>
    </row>
    <row r="607" spans="2:136" x14ac:dyDescent="0.2">
      <c r="B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U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43"/>
      <c r="DP607" s="43"/>
      <c r="DQ607" s="43"/>
      <c r="DR607" s="43"/>
      <c r="DS607" s="43"/>
      <c r="DT607" s="43"/>
      <c r="DU607" s="43"/>
      <c r="DV607" s="43"/>
      <c r="DW607" s="43"/>
      <c r="DX607" s="7"/>
      <c r="DY607" s="145"/>
      <c r="DZ607" s="7"/>
      <c r="EA607" s="145"/>
      <c r="EB607" s="7"/>
      <c r="EC607" s="145"/>
      <c r="ED607" s="7"/>
      <c r="EE607" s="145"/>
      <c r="EF607" s="7"/>
    </row>
    <row r="608" spans="2:136" x14ac:dyDescent="0.2">
      <c r="B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U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43"/>
      <c r="DP608" s="43"/>
      <c r="DQ608" s="43"/>
      <c r="DR608" s="43"/>
      <c r="DS608" s="43"/>
      <c r="DT608" s="43"/>
      <c r="DU608" s="43"/>
      <c r="DV608" s="43"/>
      <c r="DW608" s="43"/>
      <c r="DX608" s="7"/>
      <c r="DY608" s="145"/>
      <c r="DZ608" s="7"/>
      <c r="EA608" s="145"/>
      <c r="EB608" s="7"/>
      <c r="EC608" s="145"/>
      <c r="ED608" s="7"/>
      <c r="EE608" s="145"/>
      <c r="EF608" s="7"/>
    </row>
    <row r="609" spans="2:136" x14ac:dyDescent="0.2">
      <c r="B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U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43"/>
      <c r="DP609" s="43"/>
      <c r="DQ609" s="43"/>
      <c r="DR609" s="43"/>
      <c r="DS609" s="43"/>
      <c r="DT609" s="43"/>
      <c r="DU609" s="43"/>
      <c r="DV609" s="43"/>
      <c r="DW609" s="43"/>
      <c r="DX609" s="7"/>
      <c r="DY609" s="145"/>
      <c r="DZ609" s="7"/>
      <c r="EA609" s="145"/>
      <c r="EB609" s="7"/>
      <c r="EC609" s="145"/>
      <c r="ED609" s="7"/>
      <c r="EE609" s="145"/>
      <c r="EF609" s="7"/>
    </row>
    <row r="610" spans="2:136" x14ac:dyDescent="0.2">
      <c r="B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U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43"/>
      <c r="DP610" s="43"/>
      <c r="DQ610" s="43"/>
      <c r="DR610" s="43"/>
      <c r="DS610" s="43"/>
      <c r="DT610" s="43"/>
      <c r="DU610" s="43"/>
      <c r="DV610" s="43"/>
      <c r="DW610" s="43"/>
      <c r="DX610" s="7"/>
      <c r="DY610" s="145"/>
      <c r="DZ610" s="7"/>
      <c r="EA610" s="145"/>
      <c r="EB610" s="7"/>
      <c r="EC610" s="145"/>
      <c r="ED610" s="7"/>
      <c r="EE610" s="145"/>
      <c r="EF610" s="7"/>
    </row>
    <row r="611" spans="2:136" x14ac:dyDescent="0.2"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U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43"/>
      <c r="DP611" s="43"/>
      <c r="DQ611" s="43"/>
      <c r="DR611" s="43"/>
      <c r="DS611" s="43"/>
      <c r="DT611" s="43"/>
      <c r="DU611" s="43"/>
      <c r="DV611" s="43"/>
      <c r="DW611" s="43"/>
      <c r="DX611" s="7"/>
      <c r="DY611" s="145"/>
      <c r="DZ611" s="7"/>
      <c r="EA611" s="145"/>
      <c r="EB611" s="7"/>
      <c r="EC611" s="145"/>
      <c r="ED611" s="7"/>
      <c r="EE611" s="145"/>
      <c r="EF611" s="7"/>
    </row>
    <row r="612" spans="2:136" x14ac:dyDescent="0.2"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U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43"/>
      <c r="DP612" s="43"/>
      <c r="DQ612" s="43"/>
      <c r="DR612" s="43"/>
      <c r="DS612" s="43"/>
      <c r="DT612" s="43"/>
      <c r="DU612" s="43"/>
      <c r="DV612" s="43"/>
      <c r="DW612" s="43"/>
      <c r="DX612" s="7"/>
      <c r="DY612" s="145"/>
      <c r="DZ612" s="7"/>
      <c r="EA612" s="145"/>
      <c r="EB612" s="7"/>
      <c r="EC612" s="145"/>
      <c r="ED612" s="7"/>
      <c r="EE612" s="145"/>
      <c r="EF612" s="7"/>
    </row>
    <row r="613" spans="2:136" x14ac:dyDescent="0.2"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U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43"/>
      <c r="DP613" s="43"/>
      <c r="DQ613" s="43"/>
      <c r="DR613" s="43"/>
      <c r="DS613" s="43"/>
      <c r="DT613" s="43"/>
      <c r="DU613" s="43"/>
      <c r="DV613" s="43"/>
      <c r="DW613" s="43"/>
      <c r="DX613" s="7"/>
      <c r="DY613" s="145"/>
      <c r="DZ613" s="7"/>
      <c r="EA613" s="145"/>
      <c r="EB613" s="7"/>
      <c r="EC613" s="145"/>
      <c r="ED613" s="7"/>
      <c r="EE613" s="145"/>
      <c r="EF613" s="7"/>
    </row>
    <row r="614" spans="2:136" x14ac:dyDescent="0.2"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U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43"/>
      <c r="DP614" s="43"/>
      <c r="DQ614" s="43"/>
      <c r="DR614" s="43"/>
      <c r="DS614" s="43"/>
      <c r="DT614" s="43"/>
      <c r="DU614" s="43"/>
      <c r="DV614" s="43"/>
      <c r="DW614" s="43"/>
      <c r="DX614" s="7"/>
      <c r="DY614" s="145"/>
      <c r="DZ614" s="7"/>
      <c r="EA614" s="145"/>
      <c r="EB614" s="7"/>
      <c r="EC614" s="145"/>
      <c r="ED614" s="7"/>
      <c r="EE614" s="145"/>
      <c r="EF614" s="7"/>
    </row>
    <row r="615" spans="2:136" x14ac:dyDescent="0.2"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U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43"/>
      <c r="DP615" s="43"/>
      <c r="DQ615" s="43"/>
      <c r="DR615" s="43"/>
      <c r="DS615" s="43"/>
      <c r="DT615" s="43"/>
      <c r="DU615" s="43"/>
      <c r="DV615" s="43"/>
      <c r="DW615" s="43"/>
      <c r="DX615" s="7"/>
      <c r="DY615" s="145"/>
      <c r="DZ615" s="7"/>
      <c r="EA615" s="145"/>
      <c r="EB615" s="7"/>
      <c r="EC615" s="145"/>
      <c r="ED615" s="7"/>
      <c r="EE615" s="145"/>
      <c r="EF615" s="7"/>
    </row>
    <row r="616" spans="2:136" x14ac:dyDescent="0.2"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U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43"/>
      <c r="DP616" s="43"/>
      <c r="DQ616" s="43"/>
      <c r="DR616" s="43"/>
      <c r="DS616" s="43"/>
      <c r="DT616" s="43"/>
      <c r="DU616" s="43"/>
      <c r="DV616" s="43"/>
      <c r="DW616" s="43"/>
      <c r="DX616" s="7"/>
      <c r="DY616" s="145"/>
      <c r="DZ616" s="7"/>
      <c r="EA616" s="145"/>
      <c r="EB616" s="7"/>
      <c r="EC616" s="145"/>
      <c r="ED616" s="7"/>
      <c r="EE616" s="145"/>
      <c r="EF616" s="7"/>
    </row>
    <row r="617" spans="2:136" x14ac:dyDescent="0.2"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U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43"/>
      <c r="DP617" s="43"/>
      <c r="DQ617" s="43"/>
      <c r="DR617" s="43"/>
      <c r="DS617" s="43"/>
      <c r="DT617" s="43"/>
      <c r="DU617" s="43"/>
      <c r="DV617" s="43"/>
      <c r="DW617" s="43"/>
      <c r="DX617" s="7"/>
      <c r="DY617" s="145"/>
      <c r="DZ617" s="7"/>
      <c r="EA617" s="145"/>
      <c r="EB617" s="7"/>
      <c r="EC617" s="145"/>
      <c r="ED617" s="7"/>
      <c r="EE617" s="145"/>
      <c r="EF617" s="7"/>
    </row>
    <row r="618" spans="2:136" x14ac:dyDescent="0.2"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U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43"/>
      <c r="DP618" s="43"/>
      <c r="DQ618" s="43"/>
      <c r="DR618" s="43"/>
      <c r="DS618" s="43"/>
      <c r="DT618" s="43"/>
      <c r="DU618" s="43"/>
      <c r="DV618" s="43"/>
      <c r="DW618" s="43"/>
      <c r="DX618" s="7"/>
      <c r="DY618" s="145"/>
      <c r="DZ618" s="7"/>
      <c r="EA618" s="145"/>
      <c r="EB618" s="7"/>
      <c r="EC618" s="145"/>
      <c r="ED618" s="7"/>
      <c r="EE618" s="145"/>
      <c r="EF618" s="7"/>
    </row>
    <row r="619" spans="2:136" x14ac:dyDescent="0.2"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U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43"/>
      <c r="DP619" s="43"/>
      <c r="DQ619" s="43"/>
      <c r="DR619" s="43"/>
      <c r="DS619" s="43"/>
      <c r="DT619" s="43"/>
      <c r="DU619" s="43"/>
      <c r="DV619" s="43"/>
      <c r="DW619" s="43"/>
      <c r="DX619" s="7"/>
      <c r="DY619" s="145"/>
      <c r="DZ619" s="7"/>
      <c r="EA619" s="145"/>
      <c r="EB619" s="7"/>
      <c r="EC619" s="145"/>
      <c r="ED619" s="7"/>
      <c r="EE619" s="145"/>
      <c r="EF619" s="7"/>
    </row>
    <row r="620" spans="2:136" x14ac:dyDescent="0.2"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U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43"/>
      <c r="DP620" s="43"/>
      <c r="DQ620" s="43"/>
      <c r="DR620" s="43"/>
      <c r="DS620" s="43"/>
      <c r="DT620" s="43"/>
      <c r="DU620" s="43"/>
      <c r="DV620" s="43"/>
      <c r="DW620" s="43"/>
      <c r="DX620" s="7"/>
      <c r="DY620" s="145"/>
      <c r="DZ620" s="7"/>
      <c r="EA620" s="145"/>
      <c r="EB620" s="7"/>
      <c r="EC620" s="145"/>
      <c r="ED620" s="7"/>
      <c r="EE620" s="145"/>
      <c r="EF620" s="7"/>
    </row>
    <row r="621" spans="2:136" x14ac:dyDescent="0.2"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U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43"/>
      <c r="DP621" s="43"/>
      <c r="DQ621" s="43"/>
      <c r="DR621" s="43"/>
      <c r="DS621" s="43"/>
      <c r="DT621" s="43"/>
      <c r="DU621" s="43"/>
      <c r="DV621" s="43"/>
      <c r="DW621" s="43"/>
      <c r="DX621" s="7"/>
      <c r="DY621" s="145"/>
      <c r="DZ621" s="7"/>
      <c r="EA621" s="145"/>
      <c r="EB621" s="7"/>
      <c r="EC621" s="145"/>
      <c r="ED621" s="7"/>
      <c r="EE621" s="145"/>
      <c r="EF621" s="7"/>
    </row>
    <row r="622" spans="2:136" x14ac:dyDescent="0.2"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U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43"/>
      <c r="DP622" s="43"/>
      <c r="DQ622" s="43"/>
      <c r="DR622" s="43"/>
      <c r="DS622" s="43"/>
      <c r="DT622" s="43"/>
      <c r="DU622" s="43"/>
      <c r="DV622" s="43"/>
      <c r="DW622" s="43"/>
      <c r="DX622" s="7"/>
      <c r="DY622" s="145"/>
      <c r="DZ622" s="7"/>
      <c r="EA622" s="145"/>
      <c r="EB622" s="7"/>
      <c r="EC622" s="145"/>
      <c r="ED622" s="7"/>
      <c r="EE622" s="145"/>
      <c r="EF622" s="7"/>
    </row>
  </sheetData>
  <pageMargins left="0.2" right="0.2" top="0.75" bottom="0.75" header="0.3" footer="0.3"/>
  <pageSetup scale="10" orientation="landscape" horizontalDpi="0" verticalDpi="0"/>
  <ignoredErrors>
    <ignoredError sqref="CS11 CS12:CS29 CW11:DA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Michael Soares</cp:lastModifiedBy>
  <cp:lastPrinted>2020-11-03T20:27:56Z</cp:lastPrinted>
  <dcterms:created xsi:type="dcterms:W3CDTF">2020-05-31T18:44:09Z</dcterms:created>
  <dcterms:modified xsi:type="dcterms:W3CDTF">2021-03-16T17:29:14Z</dcterms:modified>
</cp:coreProperties>
</file>